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updateLinks="never"/>
  <mc:AlternateContent xmlns:mc="http://schemas.openxmlformats.org/markup-compatibility/2006">
    <mc:Choice Requires="x15">
      <x15ac:absPath xmlns:x15ac="http://schemas.microsoft.com/office/spreadsheetml/2010/11/ac" url="H:\_WINWORD\FANGAMAL\TALNING\Norræn statistikk\________Norræn Statistikk 2014-2021\"/>
    </mc:Choice>
  </mc:AlternateContent>
  <xr:revisionPtr revIDLastSave="0" documentId="8_{DE3835A7-05EC-440D-A14C-74229644DB7C}" xr6:coauthVersionLast="36" xr6:coauthVersionMax="36" xr10:uidLastSave="{00000000-0000-0000-0000-000000000000}"/>
  <bookViews>
    <workbookView xWindow="0" yWindow="0" windowWidth="19200" windowHeight="7050" tabRatio="858" xr2:uid="{00000000-000D-0000-FFFF-FFFF00000000}"/>
  </bookViews>
  <sheets>
    <sheet name="Innehåll" sheetId="1" r:id="rId1"/>
    <sheet name="Tabell 1" sheetId="2" r:id="rId2"/>
    <sheet name="Tabell 2" sheetId="3" r:id="rId3"/>
    <sheet name="Tabell 3" sheetId="4" r:id="rId4"/>
    <sheet name="Tabell 4" sheetId="5" r:id="rId5"/>
    <sheet name="Tabell 5" sheetId="6" r:id="rId6"/>
    <sheet name="Tabell 6" sheetId="7" r:id="rId7"/>
    <sheet name="Tabell 7" sheetId="8" r:id="rId8"/>
    <sheet name="Tabell 8" sheetId="9" r:id="rId9"/>
    <sheet name="Tabell 9" sheetId="10" r:id="rId10"/>
    <sheet name="Tabell 10" sheetId="11" r:id="rId11"/>
    <sheet name="Tabell 11" sheetId="12" r:id="rId12"/>
    <sheet name="Tabell 12" sheetId="13" r:id="rId13"/>
    <sheet name="Definitioner" sheetId="16" r:id="rId14"/>
    <sheet name="Folkmängd" sheetId="15" r:id="rId15"/>
  </sheets>
  <definedNames>
    <definedName name="_ftn1" localSheetId="1">'Tabell 1'!$B$31</definedName>
    <definedName name="_ftnref1" localSheetId="1">'Tabell 1'!$B$18</definedName>
    <definedName name="_Toc502915981" localSheetId="13">Definitioner!$B$1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 i="11" l="1"/>
  <c r="Z15" i="11"/>
  <c r="Y8" i="11"/>
  <c r="Y9" i="11"/>
  <c r="Y10" i="11"/>
  <c r="Y11" i="11"/>
  <c r="Y12" i="11"/>
  <c r="Y13" i="11"/>
  <c r="Y14" i="11"/>
  <c r="Y15" i="11"/>
  <c r="Y7" i="11"/>
  <c r="X8" i="11"/>
  <c r="X9" i="11"/>
  <c r="X10" i="11"/>
  <c r="X11" i="11"/>
  <c r="X12" i="11"/>
  <c r="X13" i="11"/>
  <c r="X14" i="11"/>
  <c r="X15" i="11"/>
  <c r="X7" i="11"/>
  <c r="Z17" i="11"/>
  <c r="Z8" i="11" s="1"/>
  <c r="Z29" i="11"/>
  <c r="Z32" i="11" s="1"/>
  <c r="Y32" i="11"/>
  <c r="X32" i="11"/>
  <c r="Z14" i="11" l="1"/>
  <c r="Z12" i="11"/>
  <c r="Z11" i="11"/>
  <c r="Y16" i="11"/>
  <c r="Z9" i="11"/>
  <c r="Z13" i="11"/>
  <c r="Z7" i="11"/>
  <c r="Z16" i="11" s="1"/>
  <c r="C9" i="13"/>
  <c r="J39" i="12"/>
  <c r="I39" i="12"/>
  <c r="H39" i="12"/>
  <c r="G39" i="12"/>
  <c r="F39" i="12"/>
  <c r="E39" i="12"/>
  <c r="D39" i="12"/>
  <c r="C39" i="12"/>
  <c r="I31" i="12"/>
  <c r="H31" i="12"/>
  <c r="G31" i="12"/>
  <c r="F31" i="12"/>
  <c r="E31" i="12"/>
  <c r="D31" i="12"/>
  <c r="J23" i="12"/>
  <c r="I23" i="12"/>
  <c r="H23" i="12"/>
  <c r="G23" i="12"/>
  <c r="F23" i="12"/>
  <c r="E23" i="12"/>
  <c r="D23" i="12"/>
  <c r="C23" i="12"/>
  <c r="J15" i="12"/>
  <c r="I15" i="12"/>
  <c r="H15" i="12"/>
  <c r="G15" i="12"/>
  <c r="F15" i="12"/>
  <c r="E15" i="12"/>
  <c r="D15" i="12"/>
  <c r="C15" i="12"/>
  <c r="J7" i="12"/>
  <c r="I7" i="12"/>
  <c r="H7" i="12"/>
  <c r="F7" i="12"/>
  <c r="E7" i="12"/>
  <c r="D7" i="12"/>
  <c r="C7" i="12"/>
  <c r="Z160" i="11"/>
  <c r="Z143" i="11" s="1"/>
  <c r="Y160" i="11"/>
  <c r="Y138" i="11" s="1"/>
  <c r="X160" i="11"/>
  <c r="X145" i="11" s="1"/>
  <c r="V160" i="11"/>
  <c r="U160" i="11"/>
  <c r="S160" i="11"/>
  <c r="R160" i="11"/>
  <c r="R145" i="11" s="1"/>
  <c r="P160" i="11"/>
  <c r="O160" i="11"/>
  <c r="O143" i="11" s="1"/>
  <c r="M160" i="11"/>
  <c r="M139" i="11" s="1"/>
  <c r="L160" i="11"/>
  <c r="L137" i="11" s="1"/>
  <c r="J160" i="11"/>
  <c r="I160" i="11"/>
  <c r="I145" i="11" s="1"/>
  <c r="H160" i="11"/>
  <c r="H141" i="11" s="1"/>
  <c r="G160" i="11"/>
  <c r="F160" i="11"/>
  <c r="F142" i="11" s="1"/>
  <c r="D160" i="11"/>
  <c r="D140" i="11" s="1"/>
  <c r="C160" i="11"/>
  <c r="C141" i="11" s="1"/>
  <c r="Z159" i="11"/>
  <c r="W159" i="11"/>
  <c r="T159" i="11"/>
  <c r="Q159" i="11"/>
  <c r="Q143" i="11" s="1"/>
  <c r="N159" i="11"/>
  <c r="K159" i="11"/>
  <c r="H159" i="11"/>
  <c r="H143" i="11" s="1"/>
  <c r="E159" i="11"/>
  <c r="Z158" i="11"/>
  <c r="W158" i="11"/>
  <c r="T158" i="11"/>
  <c r="Q158" i="11"/>
  <c r="N158" i="11"/>
  <c r="K158" i="11"/>
  <c r="H158" i="11"/>
  <c r="E158" i="11"/>
  <c r="Z157" i="11"/>
  <c r="W157" i="11"/>
  <c r="T157" i="11"/>
  <c r="Q157" i="11"/>
  <c r="N157" i="11"/>
  <c r="K157" i="11"/>
  <c r="H157" i="11"/>
  <c r="E157" i="11"/>
  <c r="Z156" i="11"/>
  <c r="W156" i="11"/>
  <c r="T156" i="11"/>
  <c r="Q156" i="11"/>
  <c r="N156" i="11"/>
  <c r="K156" i="11"/>
  <c r="H156" i="11"/>
  <c r="E156" i="11"/>
  <c r="Z155" i="11"/>
  <c r="W155" i="11"/>
  <c r="T155" i="11"/>
  <c r="Q155" i="11"/>
  <c r="N155" i="11"/>
  <c r="K155" i="11"/>
  <c r="H155" i="11"/>
  <c r="E155" i="11"/>
  <c r="Z154" i="11"/>
  <c r="W154" i="11"/>
  <c r="T154" i="11"/>
  <c r="Q154" i="11"/>
  <c r="N154" i="11"/>
  <c r="K154" i="11"/>
  <c r="H154" i="11"/>
  <c r="E154" i="11"/>
  <c r="Z153" i="11"/>
  <c r="W153" i="11"/>
  <c r="T153" i="11"/>
  <c r="Q153" i="11"/>
  <c r="N153" i="11"/>
  <c r="K153" i="11"/>
  <c r="H153" i="11"/>
  <c r="E153" i="11"/>
  <c r="Z152" i="11"/>
  <c r="W152" i="11"/>
  <c r="T152" i="11"/>
  <c r="Q152" i="11"/>
  <c r="N152" i="11"/>
  <c r="K152" i="11"/>
  <c r="H152" i="11"/>
  <c r="E152" i="11"/>
  <c r="Z151" i="11"/>
  <c r="W151" i="11"/>
  <c r="W160" i="11" s="1"/>
  <c r="T151" i="11"/>
  <c r="Q151" i="11"/>
  <c r="Q160" i="11" s="1"/>
  <c r="N151" i="11"/>
  <c r="N160" i="11" s="1"/>
  <c r="K151" i="11"/>
  <c r="K160" i="11" s="1"/>
  <c r="H151" i="11"/>
  <c r="H135" i="11" s="1"/>
  <c r="E151" i="11"/>
  <c r="W145" i="11"/>
  <c r="V145" i="11"/>
  <c r="U145" i="11"/>
  <c r="S145" i="11"/>
  <c r="J145" i="11"/>
  <c r="W143" i="11"/>
  <c r="V143" i="11"/>
  <c r="U143" i="11"/>
  <c r="S143" i="11"/>
  <c r="R143" i="11"/>
  <c r="J143" i="11"/>
  <c r="I143" i="11"/>
  <c r="F143" i="11"/>
  <c r="W142" i="11"/>
  <c r="V142" i="11"/>
  <c r="U142" i="11"/>
  <c r="S142" i="11"/>
  <c r="O142" i="11"/>
  <c r="J142" i="11"/>
  <c r="W141" i="11"/>
  <c r="V141" i="11"/>
  <c r="U141" i="11"/>
  <c r="S141" i="11"/>
  <c r="J141" i="11"/>
  <c r="I141" i="11"/>
  <c r="F141" i="11"/>
  <c r="D141" i="11"/>
  <c r="W140" i="11"/>
  <c r="V140" i="11"/>
  <c r="U140" i="11"/>
  <c r="S140" i="11"/>
  <c r="R140" i="11"/>
  <c r="J140" i="11"/>
  <c r="I140" i="11"/>
  <c r="H140" i="11"/>
  <c r="F140" i="11"/>
  <c r="W139" i="11"/>
  <c r="V139" i="11"/>
  <c r="U139" i="11"/>
  <c r="S139" i="11"/>
  <c r="R139" i="11"/>
  <c r="J139" i="11"/>
  <c r="I139" i="11"/>
  <c r="F139" i="11"/>
  <c r="D139" i="11"/>
  <c r="C139" i="11"/>
  <c r="W138" i="11"/>
  <c r="V138" i="11"/>
  <c r="U138" i="11"/>
  <c r="S138" i="11"/>
  <c r="M138" i="11"/>
  <c r="L138" i="11"/>
  <c r="J138" i="11"/>
  <c r="I138" i="11"/>
  <c r="H138" i="11"/>
  <c r="Y137" i="11"/>
  <c r="W137" i="11"/>
  <c r="V137" i="11"/>
  <c r="U137" i="11"/>
  <c r="S137" i="11"/>
  <c r="O137" i="11"/>
  <c r="M137" i="11"/>
  <c r="J137" i="11"/>
  <c r="I137" i="11"/>
  <c r="X136" i="11"/>
  <c r="W136" i="11"/>
  <c r="V136" i="11"/>
  <c r="U136" i="11"/>
  <c r="S136" i="11"/>
  <c r="J136" i="11"/>
  <c r="I136" i="11"/>
  <c r="D136" i="11"/>
  <c r="W135" i="11"/>
  <c r="W144" i="11" s="1"/>
  <c r="V135" i="11"/>
  <c r="U135" i="11"/>
  <c r="S135" i="11"/>
  <c r="R135" i="11"/>
  <c r="J135" i="11"/>
  <c r="I135" i="11"/>
  <c r="D135" i="11"/>
  <c r="V128" i="11"/>
  <c r="V113" i="11" s="1"/>
  <c r="U128" i="11"/>
  <c r="U106" i="11" s="1"/>
  <c r="S128" i="11"/>
  <c r="R128" i="11"/>
  <c r="P128" i="11"/>
  <c r="O128" i="11"/>
  <c r="O113" i="11" s="1"/>
  <c r="M128" i="11"/>
  <c r="M113" i="11" s="1"/>
  <c r="L128" i="11"/>
  <c r="L109" i="11" s="1"/>
  <c r="J128" i="11"/>
  <c r="J107" i="11" s="1"/>
  <c r="I128" i="11"/>
  <c r="I107" i="11" s="1"/>
  <c r="G128" i="11"/>
  <c r="F128" i="11"/>
  <c r="D128" i="11"/>
  <c r="D113" i="11" s="1"/>
  <c r="C128" i="11"/>
  <c r="C109" i="11" s="1"/>
  <c r="W127" i="11"/>
  <c r="T127" i="11"/>
  <c r="Q127" i="11"/>
  <c r="N127" i="11"/>
  <c r="K127" i="11"/>
  <c r="H127" i="11"/>
  <c r="E127" i="11"/>
  <c r="W126" i="11"/>
  <c r="T126" i="11"/>
  <c r="Q126" i="11"/>
  <c r="N126" i="11"/>
  <c r="K126" i="11"/>
  <c r="H126" i="11"/>
  <c r="E126" i="11"/>
  <c r="W125" i="11"/>
  <c r="T125" i="11"/>
  <c r="Q125" i="11"/>
  <c r="N125" i="11"/>
  <c r="K125" i="11"/>
  <c r="H125" i="11"/>
  <c r="E125" i="11"/>
  <c r="W124" i="11"/>
  <c r="T124" i="11"/>
  <c r="Q124" i="11"/>
  <c r="N124" i="11"/>
  <c r="K124" i="11"/>
  <c r="H124" i="11"/>
  <c r="E124" i="11"/>
  <c r="W123" i="11"/>
  <c r="T123" i="11"/>
  <c r="Q123" i="11"/>
  <c r="N123" i="11"/>
  <c r="K123" i="11"/>
  <c r="H123" i="11"/>
  <c r="E123" i="11"/>
  <c r="W122" i="11"/>
  <c r="W128" i="11" s="1"/>
  <c r="W109" i="11" s="1"/>
  <c r="T122" i="11"/>
  <c r="Q122" i="11"/>
  <c r="N122" i="11"/>
  <c r="K122" i="11"/>
  <c r="H122" i="11"/>
  <c r="E122" i="11"/>
  <c r="W121" i="11"/>
  <c r="T121" i="11"/>
  <c r="T128" i="11" s="1"/>
  <c r="T108" i="11" s="1"/>
  <c r="Q121" i="11"/>
  <c r="N121" i="11"/>
  <c r="K121" i="11"/>
  <c r="H121" i="11"/>
  <c r="E121" i="11"/>
  <c r="W120" i="11"/>
  <c r="T120" i="11"/>
  <c r="Q120" i="11"/>
  <c r="N120" i="11"/>
  <c r="K120" i="11"/>
  <c r="H120" i="11"/>
  <c r="E120" i="11"/>
  <c r="W119" i="11"/>
  <c r="T119" i="11"/>
  <c r="Q119" i="11"/>
  <c r="N119" i="11"/>
  <c r="N128" i="11" s="1"/>
  <c r="K119" i="11"/>
  <c r="H119" i="11"/>
  <c r="E119" i="11"/>
  <c r="Z113" i="11"/>
  <c r="Y113" i="11"/>
  <c r="X113" i="11"/>
  <c r="S113" i="11"/>
  <c r="R113" i="11"/>
  <c r="G113" i="11"/>
  <c r="F113" i="11"/>
  <c r="Z111" i="11"/>
  <c r="Y111" i="11"/>
  <c r="X111" i="11"/>
  <c r="U111" i="11"/>
  <c r="S111" i="11"/>
  <c r="R111" i="11"/>
  <c r="M111" i="11"/>
  <c r="G111" i="11"/>
  <c r="F111" i="11"/>
  <c r="D111" i="11"/>
  <c r="Z110" i="11"/>
  <c r="Y110" i="11"/>
  <c r="X110" i="11"/>
  <c r="S110" i="11"/>
  <c r="R110" i="11"/>
  <c r="G110" i="11"/>
  <c r="F110" i="11"/>
  <c r="Z109" i="11"/>
  <c r="Y109" i="11"/>
  <c r="X109" i="11"/>
  <c r="V109" i="11"/>
  <c r="S109" i="11"/>
  <c r="R109" i="11"/>
  <c r="M109" i="11"/>
  <c r="J109" i="11"/>
  <c r="G109" i="11"/>
  <c r="F109" i="11"/>
  <c r="D109" i="11"/>
  <c r="Z108" i="11"/>
  <c r="Y108" i="11"/>
  <c r="X108" i="11"/>
  <c r="S108" i="11"/>
  <c r="S112" i="11" s="1"/>
  <c r="R108" i="11"/>
  <c r="M108" i="11"/>
  <c r="J108" i="11"/>
  <c r="G108" i="11"/>
  <c r="F108" i="11"/>
  <c r="D108" i="11"/>
  <c r="Z107" i="11"/>
  <c r="Y107" i="11"/>
  <c r="X107" i="11"/>
  <c r="S107" i="11"/>
  <c r="R107" i="11"/>
  <c r="O107" i="11"/>
  <c r="G107" i="11"/>
  <c r="F107" i="11"/>
  <c r="Z106" i="11"/>
  <c r="Y106" i="11"/>
  <c r="X106" i="11"/>
  <c r="S106" i="11"/>
  <c r="R106" i="11"/>
  <c r="O106" i="11"/>
  <c r="M106" i="11"/>
  <c r="L106" i="11"/>
  <c r="J106" i="11"/>
  <c r="I106" i="11"/>
  <c r="G106" i="11"/>
  <c r="F106" i="11"/>
  <c r="D106" i="11"/>
  <c r="C106" i="11"/>
  <c r="Z105" i="11"/>
  <c r="Y105" i="11"/>
  <c r="X105" i="11"/>
  <c r="V105" i="11"/>
  <c r="S105" i="11"/>
  <c r="R105" i="11"/>
  <c r="J105" i="11"/>
  <c r="G105" i="11"/>
  <c r="F105" i="11"/>
  <c r="C105" i="11"/>
  <c r="Z104" i="11"/>
  <c r="Y104" i="11"/>
  <c r="X104" i="11"/>
  <c r="V104" i="11"/>
  <c r="S104" i="11"/>
  <c r="R104" i="11"/>
  <c r="O104" i="11"/>
  <c r="N104" i="11"/>
  <c r="M104" i="11"/>
  <c r="G104" i="11"/>
  <c r="F104" i="11"/>
  <c r="D104" i="11"/>
  <c r="C104" i="11"/>
  <c r="Z103" i="11"/>
  <c r="Y103" i="11"/>
  <c r="X103" i="11"/>
  <c r="V103" i="11"/>
  <c r="S103" i="11"/>
  <c r="R103" i="11"/>
  <c r="O103" i="11"/>
  <c r="M103" i="11"/>
  <c r="G103" i="11"/>
  <c r="F103" i="11"/>
  <c r="D103" i="11"/>
  <c r="C103" i="11"/>
  <c r="Z96" i="11"/>
  <c r="Z81" i="11" s="1"/>
  <c r="Y96" i="11"/>
  <c r="X96" i="11"/>
  <c r="V96" i="11"/>
  <c r="V75" i="11" s="1"/>
  <c r="U96" i="11"/>
  <c r="S96" i="11"/>
  <c r="S79" i="11" s="1"/>
  <c r="R96" i="11"/>
  <c r="R78" i="11" s="1"/>
  <c r="P96" i="11"/>
  <c r="P81" i="11" s="1"/>
  <c r="O96" i="11"/>
  <c r="O81" i="11" s="1"/>
  <c r="M96" i="11"/>
  <c r="L96" i="11"/>
  <c r="J96" i="11"/>
  <c r="I96" i="11"/>
  <c r="I76" i="11" s="1"/>
  <c r="G96" i="11"/>
  <c r="G78" i="11" s="1"/>
  <c r="F96" i="11"/>
  <c r="F78" i="11" s="1"/>
  <c r="D96" i="11"/>
  <c r="C96" i="11"/>
  <c r="Z95" i="11"/>
  <c r="W95" i="11"/>
  <c r="T95" i="11"/>
  <c r="Q95" i="11"/>
  <c r="N95" i="11"/>
  <c r="K95" i="11"/>
  <c r="H95" i="11"/>
  <c r="E95" i="11"/>
  <c r="Z94" i="11"/>
  <c r="W94" i="11"/>
  <c r="T94" i="11"/>
  <c r="Q94" i="11"/>
  <c r="N94" i="11"/>
  <c r="K94" i="11"/>
  <c r="H94" i="11"/>
  <c r="E94" i="11"/>
  <c r="Z93" i="11"/>
  <c r="W93" i="11"/>
  <c r="T93" i="11"/>
  <c r="Q93" i="11"/>
  <c r="N93" i="11"/>
  <c r="K93" i="11"/>
  <c r="H93" i="11"/>
  <c r="E93" i="11"/>
  <c r="Z92" i="11"/>
  <c r="W92" i="11"/>
  <c r="T92" i="11"/>
  <c r="Q92" i="11"/>
  <c r="N92" i="11"/>
  <c r="K92" i="11"/>
  <c r="H92" i="11"/>
  <c r="E92" i="11"/>
  <c r="Z91" i="11"/>
  <c r="W91" i="11"/>
  <c r="T91" i="11"/>
  <c r="Q91" i="11"/>
  <c r="N91" i="11"/>
  <c r="K91" i="11"/>
  <c r="H91" i="11"/>
  <c r="E91" i="11"/>
  <c r="Z90" i="11"/>
  <c r="W90" i="11"/>
  <c r="T90" i="11"/>
  <c r="Q90" i="11"/>
  <c r="N90" i="11"/>
  <c r="K90" i="11"/>
  <c r="H90" i="11"/>
  <c r="E90" i="11"/>
  <c r="Z89" i="11"/>
  <c r="W89" i="11"/>
  <c r="T89" i="11"/>
  <c r="Q89" i="11"/>
  <c r="N89" i="11"/>
  <c r="K89" i="11"/>
  <c r="H89" i="11"/>
  <c r="E89" i="11"/>
  <c r="Z88" i="11"/>
  <c r="W88" i="11"/>
  <c r="T88" i="11"/>
  <c r="Q88" i="11"/>
  <c r="N88" i="11"/>
  <c r="K88" i="11"/>
  <c r="H88" i="11"/>
  <c r="E88" i="11"/>
  <c r="Z87" i="11"/>
  <c r="W87" i="11"/>
  <c r="T87" i="11"/>
  <c r="Q87" i="11"/>
  <c r="N87" i="11"/>
  <c r="N96" i="11" s="1"/>
  <c r="K87" i="11"/>
  <c r="K96" i="11" s="1"/>
  <c r="H87" i="11"/>
  <c r="E87" i="11"/>
  <c r="E96" i="11" s="1"/>
  <c r="Y81" i="11"/>
  <c r="X81" i="11"/>
  <c r="U81" i="11"/>
  <c r="R81" i="11"/>
  <c r="M81" i="11"/>
  <c r="L81" i="11"/>
  <c r="J81" i="11"/>
  <c r="I81" i="11"/>
  <c r="G81" i="11"/>
  <c r="F81" i="11"/>
  <c r="D81" i="11"/>
  <c r="C81" i="11"/>
  <c r="Y79" i="11"/>
  <c r="X79" i="11"/>
  <c r="U79" i="11"/>
  <c r="R79" i="11"/>
  <c r="M79" i="11"/>
  <c r="L79" i="11"/>
  <c r="J79" i="11"/>
  <c r="I79" i="11"/>
  <c r="F79" i="11"/>
  <c r="D79" i="11"/>
  <c r="C79" i="11"/>
  <c r="Z78" i="11"/>
  <c r="Y78" i="11"/>
  <c r="X78" i="11"/>
  <c r="U78" i="11"/>
  <c r="S78" i="11"/>
  <c r="O78" i="11"/>
  <c r="M78" i="11"/>
  <c r="L78" i="11"/>
  <c r="J78" i="11"/>
  <c r="I78" i="11"/>
  <c r="D78" i="11"/>
  <c r="C78" i="11"/>
  <c r="Z77" i="11"/>
  <c r="Y77" i="11"/>
  <c r="X77" i="11"/>
  <c r="U77" i="11"/>
  <c r="O77" i="11"/>
  <c r="M77" i="11"/>
  <c r="L77" i="11"/>
  <c r="J77" i="11"/>
  <c r="I77" i="11"/>
  <c r="D77" i="11"/>
  <c r="C77" i="11"/>
  <c r="Z76" i="11"/>
  <c r="Y76" i="11"/>
  <c r="X76" i="11"/>
  <c r="V76" i="11"/>
  <c r="U76" i="11"/>
  <c r="O76" i="11"/>
  <c r="M76" i="11"/>
  <c r="L76" i="11"/>
  <c r="J76" i="11"/>
  <c r="E76" i="11"/>
  <c r="D76" i="11"/>
  <c r="C76" i="11"/>
  <c r="Z75" i="11"/>
  <c r="Y75" i="11"/>
  <c r="X75" i="11"/>
  <c r="U75" i="11"/>
  <c r="O75" i="11"/>
  <c r="M75" i="11"/>
  <c r="L75" i="11"/>
  <c r="J75" i="11"/>
  <c r="D75" i="11"/>
  <c r="C75" i="11"/>
  <c r="Z74" i="11"/>
  <c r="Y74" i="11"/>
  <c r="X74" i="11"/>
  <c r="U74" i="11"/>
  <c r="R74" i="11"/>
  <c r="O74" i="11"/>
  <c r="M74" i="11"/>
  <c r="L74" i="11"/>
  <c r="J74" i="11"/>
  <c r="D74" i="11"/>
  <c r="C74" i="11"/>
  <c r="Z73" i="11"/>
  <c r="Y73" i="11"/>
  <c r="X73" i="11"/>
  <c r="U73" i="11"/>
  <c r="R73" i="11"/>
  <c r="O73" i="11"/>
  <c r="M73" i="11"/>
  <c r="L73" i="11"/>
  <c r="J73" i="11"/>
  <c r="G73" i="11"/>
  <c r="D73" i="11"/>
  <c r="C73" i="11"/>
  <c r="Z72" i="11"/>
  <c r="Y72" i="11"/>
  <c r="X72" i="11"/>
  <c r="V72" i="11"/>
  <c r="U72" i="11"/>
  <c r="O72" i="11"/>
  <c r="M72" i="11"/>
  <c r="L72" i="11"/>
  <c r="J72" i="11"/>
  <c r="E72" i="11"/>
  <c r="D72" i="11"/>
  <c r="C72" i="11"/>
  <c r="Z71" i="11"/>
  <c r="Y71" i="11"/>
  <c r="X71" i="11"/>
  <c r="U71" i="11"/>
  <c r="R71" i="11"/>
  <c r="P71" i="11"/>
  <c r="O71" i="11"/>
  <c r="M71" i="11"/>
  <c r="L71" i="11"/>
  <c r="J71" i="11"/>
  <c r="I71" i="11"/>
  <c r="D71" i="11"/>
  <c r="D80" i="11" s="1"/>
  <c r="C71" i="11"/>
  <c r="Y64" i="11"/>
  <c r="X64" i="11"/>
  <c r="W64" i="11"/>
  <c r="W49" i="11" s="1"/>
  <c r="V64" i="11"/>
  <c r="U64" i="11"/>
  <c r="T64" i="11"/>
  <c r="T49" i="11" s="1"/>
  <c r="S64" i="11"/>
  <c r="S42" i="11" s="1"/>
  <c r="R64" i="11"/>
  <c r="P64" i="11"/>
  <c r="O64" i="11"/>
  <c r="M64" i="11"/>
  <c r="L64" i="11"/>
  <c r="J64" i="11"/>
  <c r="J47" i="11" s="1"/>
  <c r="I64" i="11"/>
  <c r="I46" i="11" s="1"/>
  <c r="G64" i="11"/>
  <c r="G39" i="11" s="1"/>
  <c r="F64" i="11"/>
  <c r="D64" i="11"/>
  <c r="C64" i="11"/>
  <c r="C49" i="11" s="1"/>
  <c r="Z63" i="11"/>
  <c r="Z47" i="11" s="1"/>
  <c r="W63" i="11"/>
  <c r="T63" i="11"/>
  <c r="T47" i="11" s="1"/>
  <c r="Q63" i="11"/>
  <c r="N63" i="11"/>
  <c r="K63" i="11"/>
  <c r="H63" i="11"/>
  <c r="E63" i="11"/>
  <c r="Z62" i="11"/>
  <c r="Z46" i="11" s="1"/>
  <c r="W62" i="11"/>
  <c r="T62" i="11"/>
  <c r="T46" i="11" s="1"/>
  <c r="Q62" i="11"/>
  <c r="Q46" i="11" s="1"/>
  <c r="N62" i="11"/>
  <c r="K62" i="11"/>
  <c r="H62" i="11"/>
  <c r="E62" i="11"/>
  <c r="Z61" i="11"/>
  <c r="Z45" i="11" s="1"/>
  <c r="W61" i="11"/>
  <c r="T61" i="11"/>
  <c r="Q61" i="11"/>
  <c r="Q45" i="11" s="1"/>
  <c r="N61" i="11"/>
  <c r="K61" i="11"/>
  <c r="H61" i="11"/>
  <c r="E61" i="11"/>
  <c r="Z60" i="11"/>
  <c r="Z44" i="11" s="1"/>
  <c r="W60" i="11"/>
  <c r="T60" i="11"/>
  <c r="T44" i="11" s="1"/>
  <c r="Q60" i="11"/>
  <c r="N60" i="11"/>
  <c r="K60" i="11"/>
  <c r="H60" i="11"/>
  <c r="E60" i="11"/>
  <c r="Z59" i="11"/>
  <c r="Z43" i="11" s="1"/>
  <c r="W59" i="11"/>
  <c r="T59" i="11"/>
  <c r="T43" i="11" s="1"/>
  <c r="Q59" i="11"/>
  <c r="N59" i="11"/>
  <c r="K59" i="11"/>
  <c r="H59" i="11"/>
  <c r="E59" i="11"/>
  <c r="Z58" i="11"/>
  <c r="Z42" i="11" s="1"/>
  <c r="W58" i="11"/>
  <c r="T58" i="11"/>
  <c r="Q58" i="11"/>
  <c r="N58" i="11"/>
  <c r="K58" i="11"/>
  <c r="H58" i="11"/>
  <c r="E58" i="11"/>
  <c r="Z57" i="11"/>
  <c r="Z41" i="11" s="1"/>
  <c r="W57" i="11"/>
  <c r="T57" i="11"/>
  <c r="T41" i="11" s="1"/>
  <c r="Q57" i="11"/>
  <c r="N57" i="11"/>
  <c r="K57" i="11"/>
  <c r="H57" i="11"/>
  <c r="E57" i="11"/>
  <c r="Z56" i="11"/>
  <c r="Z40" i="11" s="1"/>
  <c r="W56" i="11"/>
  <c r="T56" i="11"/>
  <c r="T40" i="11" s="1"/>
  <c r="Q56" i="11"/>
  <c r="Q40" i="11" s="1"/>
  <c r="N56" i="11"/>
  <c r="K56" i="11"/>
  <c r="H56" i="11"/>
  <c r="E56" i="11"/>
  <c r="Z55" i="11"/>
  <c r="Z64" i="11" s="1"/>
  <c r="Z49" i="11" s="1"/>
  <c r="W55" i="11"/>
  <c r="T55" i="11"/>
  <c r="Q55" i="11"/>
  <c r="Q64" i="11" s="1"/>
  <c r="N55" i="11"/>
  <c r="N64" i="11" s="1"/>
  <c r="K55" i="11"/>
  <c r="K64" i="11" s="1"/>
  <c r="K42" i="11" s="1"/>
  <c r="H55" i="11"/>
  <c r="H64" i="11" s="1"/>
  <c r="E55" i="11"/>
  <c r="Y49" i="11"/>
  <c r="X49" i="11"/>
  <c r="V49" i="11"/>
  <c r="U49" i="11"/>
  <c r="R49" i="11"/>
  <c r="L49" i="11"/>
  <c r="J49" i="11"/>
  <c r="H49" i="11"/>
  <c r="D49" i="11"/>
  <c r="Y47" i="11"/>
  <c r="X47" i="11"/>
  <c r="R47" i="11"/>
  <c r="P47" i="11"/>
  <c r="L47" i="11"/>
  <c r="H47" i="11"/>
  <c r="D47" i="11"/>
  <c r="C47" i="11"/>
  <c r="Y46" i="11"/>
  <c r="X46" i="11"/>
  <c r="R46" i="11"/>
  <c r="P46" i="11"/>
  <c r="L46" i="11"/>
  <c r="J46" i="11"/>
  <c r="H46" i="11"/>
  <c r="D46" i="11"/>
  <c r="C46" i="11"/>
  <c r="Y45" i="11"/>
  <c r="X45" i="11"/>
  <c r="T45" i="11"/>
  <c r="R45" i="11"/>
  <c r="P45" i="11"/>
  <c r="L45" i="11"/>
  <c r="H45" i="11"/>
  <c r="D45" i="11"/>
  <c r="C45" i="11"/>
  <c r="Y44" i="11"/>
  <c r="X44" i="11"/>
  <c r="R44" i="11"/>
  <c r="Q44" i="11"/>
  <c r="P44" i="11"/>
  <c r="L44" i="11"/>
  <c r="H44" i="11"/>
  <c r="D44" i="11"/>
  <c r="C44" i="11"/>
  <c r="Y43" i="11"/>
  <c r="X43" i="11"/>
  <c r="R43" i="11"/>
  <c r="P43" i="11"/>
  <c r="L43" i="11"/>
  <c r="J43" i="11"/>
  <c r="I43" i="11"/>
  <c r="H43" i="11"/>
  <c r="D43" i="11"/>
  <c r="C43" i="11"/>
  <c r="Y42" i="11"/>
  <c r="X42" i="11"/>
  <c r="R42" i="11"/>
  <c r="P42" i="11"/>
  <c r="L42" i="11"/>
  <c r="H42" i="11"/>
  <c r="D42" i="11"/>
  <c r="C42" i="11"/>
  <c r="Y41" i="11"/>
  <c r="X41" i="11"/>
  <c r="V41" i="11"/>
  <c r="R41" i="11"/>
  <c r="P41" i="11"/>
  <c r="L41" i="11"/>
  <c r="J41" i="11"/>
  <c r="I41" i="11"/>
  <c r="H41" i="11"/>
  <c r="F41" i="11"/>
  <c r="D41" i="11"/>
  <c r="C41" i="11"/>
  <c r="Y40" i="11"/>
  <c r="X40" i="11"/>
  <c r="V40" i="11"/>
  <c r="R40" i="11"/>
  <c r="P40" i="11"/>
  <c r="L40" i="11"/>
  <c r="J40" i="11"/>
  <c r="I40" i="11"/>
  <c r="H40" i="11"/>
  <c r="F40" i="11"/>
  <c r="D40" i="11"/>
  <c r="C40" i="11"/>
  <c r="Z39" i="11"/>
  <c r="Y39" i="11"/>
  <c r="X39" i="11"/>
  <c r="V39" i="11"/>
  <c r="T39" i="11"/>
  <c r="R39" i="11"/>
  <c r="P39" i="11"/>
  <c r="L39" i="11"/>
  <c r="J39" i="11"/>
  <c r="I39" i="11"/>
  <c r="H39" i="11"/>
  <c r="F39" i="11"/>
  <c r="D39" i="11"/>
  <c r="C39" i="11"/>
  <c r="U32" i="11"/>
  <c r="Q32" i="11"/>
  <c r="Q10" i="11" s="1"/>
  <c r="P32" i="11"/>
  <c r="P10" i="11" s="1"/>
  <c r="O32" i="11"/>
  <c r="N32" i="11"/>
  <c r="M32" i="11"/>
  <c r="M17" i="11" s="1"/>
  <c r="L32" i="11"/>
  <c r="L15" i="11" s="1"/>
  <c r="K32" i="11"/>
  <c r="K8" i="11" s="1"/>
  <c r="J32" i="11"/>
  <c r="I32" i="11"/>
  <c r="I10" i="11" s="1"/>
  <c r="H32" i="11"/>
  <c r="H13" i="11" s="1"/>
  <c r="G32" i="11"/>
  <c r="G15" i="11" s="1"/>
  <c r="F32" i="11"/>
  <c r="E32" i="11"/>
  <c r="E17" i="11" s="1"/>
  <c r="D32" i="11"/>
  <c r="D12" i="11" s="1"/>
  <c r="C32" i="11"/>
  <c r="C8" i="11" s="1"/>
  <c r="S31" i="11"/>
  <c r="S32" i="11" s="1"/>
  <c r="R31" i="11"/>
  <c r="R15" i="11" s="1"/>
  <c r="T30" i="11"/>
  <c r="T14" i="11" s="1"/>
  <c r="T29" i="11"/>
  <c r="T28" i="11"/>
  <c r="R28" i="11"/>
  <c r="R12" i="11" s="1"/>
  <c r="Q28" i="11"/>
  <c r="O28" i="11"/>
  <c r="O12" i="11" s="1"/>
  <c r="T27" i="11"/>
  <c r="T11" i="11" s="1"/>
  <c r="R26" i="11"/>
  <c r="T26" i="11" s="1"/>
  <c r="T10" i="11" s="1"/>
  <c r="T25" i="11"/>
  <c r="Q25" i="11"/>
  <c r="O25" i="11"/>
  <c r="T24" i="11"/>
  <c r="N17" i="11"/>
  <c r="G17" i="11"/>
  <c r="F17" i="11"/>
  <c r="W16" i="11"/>
  <c r="V16" i="11"/>
  <c r="U16" i="11"/>
  <c r="W15" i="11"/>
  <c r="V15" i="11"/>
  <c r="U15" i="11"/>
  <c r="Q15" i="11"/>
  <c r="O15" i="11"/>
  <c r="N15" i="11"/>
  <c r="M15" i="11"/>
  <c r="K15" i="11"/>
  <c r="F15" i="11"/>
  <c r="E15" i="11"/>
  <c r="D15" i="11"/>
  <c r="C15" i="11"/>
  <c r="W14" i="11"/>
  <c r="V14" i="11"/>
  <c r="U14" i="11"/>
  <c r="R14" i="11"/>
  <c r="O14" i="11"/>
  <c r="N14" i="11"/>
  <c r="M14" i="11"/>
  <c r="G14" i="11"/>
  <c r="F14" i="11"/>
  <c r="E14" i="11"/>
  <c r="D14" i="11"/>
  <c r="W13" i="11"/>
  <c r="V13" i="11"/>
  <c r="U13" i="11"/>
  <c r="T13" i="11"/>
  <c r="R13" i="11"/>
  <c r="O13" i="11"/>
  <c r="N13" i="11"/>
  <c r="M13" i="11"/>
  <c r="K13" i="11"/>
  <c r="G13" i="11"/>
  <c r="F13" i="11"/>
  <c r="E13" i="11"/>
  <c r="D13" i="11"/>
  <c r="C13" i="11"/>
  <c r="W12" i="11"/>
  <c r="V12" i="11"/>
  <c r="U12" i="11"/>
  <c r="T12" i="11"/>
  <c r="Q12" i="11"/>
  <c r="P12" i="11"/>
  <c r="N12" i="11"/>
  <c r="M12" i="11"/>
  <c r="I12" i="11"/>
  <c r="G12" i="11"/>
  <c r="F12" i="11"/>
  <c r="E12" i="11"/>
  <c r="W11" i="11"/>
  <c r="V11" i="11"/>
  <c r="U11" i="11"/>
  <c r="R11" i="11"/>
  <c r="O11" i="11"/>
  <c r="N11" i="11"/>
  <c r="M11" i="11"/>
  <c r="G11" i="11"/>
  <c r="F11" i="11"/>
  <c r="E11" i="11"/>
  <c r="W10" i="11"/>
  <c r="V10" i="11"/>
  <c r="U10" i="11"/>
  <c r="O10" i="11"/>
  <c r="N10" i="11"/>
  <c r="M10" i="11"/>
  <c r="L10" i="11"/>
  <c r="K10" i="11"/>
  <c r="G10" i="11"/>
  <c r="F10" i="11"/>
  <c r="E10" i="11"/>
  <c r="C10" i="11"/>
  <c r="W9" i="11"/>
  <c r="V9" i="11"/>
  <c r="U9" i="11"/>
  <c r="T9" i="11"/>
  <c r="R9" i="11"/>
  <c r="O9" i="11"/>
  <c r="N9" i="11"/>
  <c r="M9" i="11"/>
  <c r="G9" i="11"/>
  <c r="F9" i="11"/>
  <c r="E9" i="11"/>
  <c r="E16" i="11" s="1"/>
  <c r="D9" i="11"/>
  <c r="W8" i="11"/>
  <c r="V8" i="11"/>
  <c r="U8" i="11"/>
  <c r="T8" i="11"/>
  <c r="R8" i="11"/>
  <c r="O8" i="11"/>
  <c r="N8" i="11"/>
  <c r="N16" i="11" s="1"/>
  <c r="M8" i="11"/>
  <c r="G8" i="11"/>
  <c r="F8" i="11"/>
  <c r="E8" i="11"/>
  <c r="W7" i="11"/>
  <c r="V7" i="11"/>
  <c r="U7" i="11"/>
  <c r="T7" i="11"/>
  <c r="S7" i="11"/>
  <c r="R7" i="11"/>
  <c r="O7" i="11"/>
  <c r="N7" i="11"/>
  <c r="M7" i="11"/>
  <c r="M16" i="11" s="1"/>
  <c r="K7" i="11"/>
  <c r="J7" i="11"/>
  <c r="G7" i="11"/>
  <c r="F7" i="11"/>
  <c r="E7" i="11"/>
  <c r="C7" i="11"/>
  <c r="J94" i="10"/>
  <c r="I94" i="10"/>
  <c r="H94" i="10"/>
  <c r="G94" i="10"/>
  <c r="F94" i="10"/>
  <c r="E94" i="10"/>
  <c r="D94" i="10"/>
  <c r="C94" i="10"/>
  <c r="F91" i="10"/>
  <c r="E91" i="10"/>
  <c r="D91" i="10"/>
  <c r="F88" i="10"/>
  <c r="E88" i="10"/>
  <c r="D88" i="10"/>
  <c r="J68" i="10"/>
  <c r="I68" i="10"/>
  <c r="H68" i="10"/>
  <c r="G68" i="10"/>
  <c r="F68" i="10"/>
  <c r="E68" i="10"/>
  <c r="D68" i="10"/>
  <c r="C68" i="10"/>
  <c r="J39" i="10"/>
  <c r="J36" i="10"/>
  <c r="I12" i="10"/>
  <c r="H12" i="10"/>
  <c r="G12" i="10"/>
  <c r="F12" i="10"/>
  <c r="E12" i="10"/>
  <c r="D12" i="10"/>
  <c r="C12" i="10"/>
  <c r="I9" i="10"/>
  <c r="H9" i="10"/>
  <c r="G9" i="10"/>
  <c r="F9" i="10"/>
  <c r="E9" i="10"/>
  <c r="J8" i="10"/>
  <c r="D8" i="10"/>
  <c r="D9" i="10" s="1"/>
  <c r="C8" i="10"/>
  <c r="C9" i="10" s="1"/>
  <c r="I6" i="10"/>
  <c r="H6" i="10"/>
  <c r="G6" i="10"/>
  <c r="F6" i="10"/>
  <c r="E6" i="10"/>
  <c r="D6" i="10"/>
  <c r="C6" i="10"/>
  <c r="J127" i="9"/>
  <c r="J114" i="10" s="1"/>
  <c r="I127" i="9"/>
  <c r="I117" i="10" s="1"/>
  <c r="H127" i="9"/>
  <c r="H117" i="10" s="1"/>
  <c r="G127" i="9"/>
  <c r="G117" i="10" s="1"/>
  <c r="E127" i="9"/>
  <c r="E117" i="10" s="1"/>
  <c r="D127" i="9"/>
  <c r="D117" i="10" s="1"/>
  <c r="J126" i="9"/>
  <c r="I126" i="9"/>
  <c r="H126" i="9"/>
  <c r="G126" i="9"/>
  <c r="E126" i="9"/>
  <c r="D126" i="9"/>
  <c r="C126" i="9"/>
  <c r="J123" i="9"/>
  <c r="I123" i="9"/>
  <c r="H123" i="9"/>
  <c r="G123" i="9"/>
  <c r="F123" i="9"/>
  <c r="E123" i="9"/>
  <c r="D123" i="9"/>
  <c r="C123" i="9"/>
  <c r="J118" i="9"/>
  <c r="I118" i="9"/>
  <c r="H118" i="9"/>
  <c r="G118" i="9"/>
  <c r="E118" i="9"/>
  <c r="D118" i="9"/>
  <c r="F117" i="9"/>
  <c r="C117" i="9"/>
  <c r="C127" i="9" s="1"/>
  <c r="F116" i="9"/>
  <c r="F126" i="9" s="1"/>
  <c r="C116" i="9"/>
  <c r="J113" i="9"/>
  <c r="I113" i="9"/>
  <c r="H113" i="9"/>
  <c r="G113" i="9"/>
  <c r="F113" i="9"/>
  <c r="E113" i="9"/>
  <c r="D113" i="9"/>
  <c r="C112" i="9"/>
  <c r="C113" i="9" s="1"/>
  <c r="G102" i="9"/>
  <c r="F102" i="9"/>
  <c r="E102" i="9"/>
  <c r="J101" i="9"/>
  <c r="J102" i="9" s="1"/>
  <c r="I101" i="9"/>
  <c r="I91" i="10" s="1"/>
  <c r="H101" i="9"/>
  <c r="H91" i="10" s="1"/>
  <c r="G101" i="9"/>
  <c r="J100" i="9"/>
  <c r="I100" i="9"/>
  <c r="H100" i="9"/>
  <c r="G100" i="9"/>
  <c r="F100" i="9"/>
  <c r="D100" i="9"/>
  <c r="D102" i="9" s="1"/>
  <c r="J92" i="9"/>
  <c r="I92" i="9"/>
  <c r="H92" i="9"/>
  <c r="G92" i="9"/>
  <c r="F92" i="9"/>
  <c r="E92" i="9"/>
  <c r="D92" i="9"/>
  <c r="C92" i="9"/>
  <c r="C91" i="9"/>
  <c r="C90" i="9"/>
  <c r="J87" i="9"/>
  <c r="I87" i="9"/>
  <c r="H87" i="9"/>
  <c r="G87" i="9"/>
  <c r="F87" i="9"/>
  <c r="E87" i="9"/>
  <c r="D87" i="9"/>
  <c r="E86" i="9"/>
  <c r="C86" i="9"/>
  <c r="C85" i="9"/>
  <c r="C100" i="9" s="1"/>
  <c r="J74" i="9"/>
  <c r="J65" i="10" s="1"/>
  <c r="I74" i="9"/>
  <c r="I65" i="10" s="1"/>
  <c r="H74" i="9"/>
  <c r="H75" i="9" s="1"/>
  <c r="G74" i="9"/>
  <c r="F74" i="9"/>
  <c r="E74" i="9"/>
  <c r="D74" i="9"/>
  <c r="D75" i="9" s="1"/>
  <c r="C74" i="9"/>
  <c r="J73" i="9"/>
  <c r="I73" i="9"/>
  <c r="H73" i="9"/>
  <c r="G73" i="9"/>
  <c r="F73" i="9"/>
  <c r="E73" i="9"/>
  <c r="D73" i="9"/>
  <c r="C73" i="9"/>
  <c r="J70" i="9"/>
  <c r="I70" i="9"/>
  <c r="H70" i="9"/>
  <c r="G70" i="9"/>
  <c r="F70" i="9"/>
  <c r="E70" i="9"/>
  <c r="D70" i="9"/>
  <c r="C70" i="9"/>
  <c r="J65" i="9"/>
  <c r="I65" i="9"/>
  <c r="H65" i="9"/>
  <c r="G65" i="9"/>
  <c r="F65" i="9"/>
  <c r="E65" i="9"/>
  <c r="D65" i="9"/>
  <c r="C65" i="9"/>
  <c r="J60" i="9"/>
  <c r="I60" i="9"/>
  <c r="H60" i="9"/>
  <c r="G60" i="9"/>
  <c r="F60" i="9"/>
  <c r="E60" i="9"/>
  <c r="D60" i="9"/>
  <c r="C60" i="9"/>
  <c r="J48" i="9"/>
  <c r="I48" i="9"/>
  <c r="I39" i="10" s="1"/>
  <c r="H48" i="9"/>
  <c r="G48" i="9"/>
  <c r="F48" i="9"/>
  <c r="E48" i="9"/>
  <c r="D48" i="9"/>
  <c r="C48" i="9"/>
  <c r="J47" i="9"/>
  <c r="I47" i="9"/>
  <c r="H47" i="9"/>
  <c r="G47" i="9"/>
  <c r="F47" i="9"/>
  <c r="E47" i="9"/>
  <c r="D47" i="9"/>
  <c r="C47" i="9"/>
  <c r="J39" i="9"/>
  <c r="I39" i="9"/>
  <c r="H39" i="9"/>
  <c r="G39" i="9"/>
  <c r="F39" i="9"/>
  <c r="E39" i="9"/>
  <c r="D39" i="9"/>
  <c r="C39" i="9"/>
  <c r="J34" i="9"/>
  <c r="I34" i="9"/>
  <c r="H34" i="9"/>
  <c r="G34" i="9"/>
  <c r="F34" i="9"/>
  <c r="E34" i="9"/>
  <c r="D34" i="9"/>
  <c r="C34" i="9"/>
  <c r="J23" i="9"/>
  <c r="I23" i="9"/>
  <c r="H23" i="9"/>
  <c r="G23" i="9"/>
  <c r="F23" i="9"/>
  <c r="E23" i="9"/>
  <c r="D23" i="9"/>
  <c r="C23" i="9"/>
  <c r="J18" i="9"/>
  <c r="I18" i="9"/>
  <c r="H18" i="9"/>
  <c r="G18" i="9"/>
  <c r="F18" i="9"/>
  <c r="E18" i="9"/>
  <c r="D18" i="9"/>
  <c r="C18" i="9"/>
  <c r="J13" i="9"/>
  <c r="I13" i="9"/>
  <c r="H13" i="9"/>
  <c r="G13" i="9"/>
  <c r="F13" i="9"/>
  <c r="E13" i="9"/>
  <c r="D13" i="9"/>
  <c r="C13" i="9"/>
  <c r="J8" i="9"/>
  <c r="I8" i="9"/>
  <c r="H8" i="9"/>
  <c r="G8" i="9"/>
  <c r="F8" i="9"/>
  <c r="E8" i="9"/>
  <c r="D8" i="9"/>
  <c r="C8" i="9"/>
  <c r="J127" i="8"/>
  <c r="I127" i="8"/>
  <c r="H127" i="8"/>
  <c r="G127" i="8"/>
  <c r="F127" i="8"/>
  <c r="E127" i="8"/>
  <c r="D127" i="8"/>
  <c r="C127" i="8"/>
  <c r="J101" i="8"/>
  <c r="I101" i="8"/>
  <c r="H101" i="8"/>
  <c r="G101" i="8"/>
  <c r="F101" i="8"/>
  <c r="E101" i="8"/>
  <c r="D101" i="8"/>
  <c r="C101" i="8"/>
  <c r="J75" i="8"/>
  <c r="I75" i="8"/>
  <c r="H75" i="8"/>
  <c r="G75" i="8"/>
  <c r="F75" i="8"/>
  <c r="E75" i="8"/>
  <c r="D75" i="8"/>
  <c r="C75" i="8"/>
  <c r="J49" i="8"/>
  <c r="I49" i="8"/>
  <c r="H49" i="8"/>
  <c r="G49" i="8"/>
  <c r="F49" i="8"/>
  <c r="E49" i="8"/>
  <c r="D49" i="8"/>
  <c r="C49" i="8"/>
  <c r="C40" i="8"/>
  <c r="J23" i="8"/>
  <c r="I23" i="8"/>
  <c r="H23" i="8"/>
  <c r="G23" i="8"/>
  <c r="F23" i="8"/>
  <c r="E23" i="8"/>
  <c r="D23" i="8"/>
  <c r="C23" i="8"/>
  <c r="J115" i="6"/>
  <c r="I115" i="6"/>
  <c r="H115" i="6"/>
  <c r="G115" i="6"/>
  <c r="E115" i="6"/>
  <c r="D115" i="6"/>
  <c r="C115" i="6"/>
  <c r="J111" i="6"/>
  <c r="I111" i="6"/>
  <c r="H111" i="6"/>
  <c r="G111" i="6"/>
  <c r="F111" i="6"/>
  <c r="E111" i="6"/>
  <c r="D111" i="6"/>
  <c r="C111" i="6"/>
  <c r="J89" i="6"/>
  <c r="I89" i="6"/>
  <c r="H89" i="6"/>
  <c r="G89" i="6"/>
  <c r="F89" i="6"/>
  <c r="E89" i="6"/>
  <c r="D89" i="6"/>
  <c r="C89" i="6"/>
  <c r="J85" i="6"/>
  <c r="I85" i="6"/>
  <c r="H85" i="6"/>
  <c r="G85" i="6"/>
  <c r="F85" i="6"/>
  <c r="E85" i="6"/>
  <c r="D85" i="6"/>
  <c r="J63" i="6"/>
  <c r="I63" i="6"/>
  <c r="H63" i="6"/>
  <c r="G63" i="6"/>
  <c r="F63" i="6"/>
  <c r="E63" i="6"/>
  <c r="D63" i="6"/>
  <c r="C63" i="6"/>
  <c r="J59" i="6"/>
  <c r="I59" i="6"/>
  <c r="H59" i="6"/>
  <c r="G59" i="6"/>
  <c r="F59" i="6"/>
  <c r="E59" i="6"/>
  <c r="D59" i="6"/>
  <c r="C59" i="6"/>
  <c r="J37" i="6"/>
  <c r="I37" i="6"/>
  <c r="H37" i="6"/>
  <c r="G37" i="6"/>
  <c r="F37" i="6"/>
  <c r="E37" i="6"/>
  <c r="D37" i="6"/>
  <c r="C37" i="6"/>
  <c r="J33" i="6"/>
  <c r="I33" i="6"/>
  <c r="H33" i="6"/>
  <c r="G33" i="6"/>
  <c r="F33" i="6"/>
  <c r="E33" i="6"/>
  <c r="D33" i="6"/>
  <c r="C33" i="6"/>
  <c r="I11" i="6"/>
  <c r="H11" i="6"/>
  <c r="G11" i="6"/>
  <c r="F11" i="6"/>
  <c r="E11" i="6"/>
  <c r="D11" i="6"/>
  <c r="C11" i="6"/>
  <c r="I7" i="6"/>
  <c r="H7" i="6"/>
  <c r="G7" i="6"/>
  <c r="F7" i="6"/>
  <c r="E7" i="6"/>
  <c r="D7" i="6"/>
  <c r="C7" i="6"/>
  <c r="J124" i="5"/>
  <c r="I124" i="5"/>
  <c r="H124" i="5"/>
  <c r="G124" i="5"/>
  <c r="F124" i="5"/>
  <c r="E124" i="5"/>
  <c r="D124" i="5"/>
  <c r="C124" i="5"/>
  <c r="J121" i="5"/>
  <c r="I121" i="5"/>
  <c r="H121" i="5"/>
  <c r="G121" i="5"/>
  <c r="F121" i="5"/>
  <c r="E121" i="5"/>
  <c r="D121" i="5"/>
  <c r="C121" i="5"/>
  <c r="J118" i="5"/>
  <c r="I118" i="5"/>
  <c r="H118" i="5"/>
  <c r="G118" i="5"/>
  <c r="F118" i="5"/>
  <c r="E118" i="5"/>
  <c r="D118" i="5"/>
  <c r="C118" i="5"/>
  <c r="J116" i="5"/>
  <c r="I116" i="5"/>
  <c r="H116" i="5"/>
  <c r="G116" i="5"/>
  <c r="F116" i="5"/>
  <c r="E116" i="5"/>
  <c r="D116" i="5"/>
  <c r="C116" i="5"/>
  <c r="J113" i="5"/>
  <c r="I113" i="5"/>
  <c r="H113" i="5"/>
  <c r="G113" i="5"/>
  <c r="F113" i="5"/>
  <c r="E113" i="5"/>
  <c r="D113" i="5"/>
  <c r="C113" i="5"/>
  <c r="J95" i="5"/>
  <c r="I95" i="5"/>
  <c r="H95" i="5"/>
  <c r="G95" i="5"/>
  <c r="E95" i="5"/>
  <c r="D95" i="5"/>
  <c r="C95" i="5"/>
  <c r="J92" i="5"/>
  <c r="I92" i="5"/>
  <c r="H92" i="5"/>
  <c r="G92" i="5"/>
  <c r="E92" i="5"/>
  <c r="D92" i="5"/>
  <c r="C92" i="5"/>
  <c r="J90" i="5"/>
  <c r="I90" i="5"/>
  <c r="H90" i="5"/>
  <c r="G90" i="5"/>
  <c r="E90" i="5"/>
  <c r="D90" i="5"/>
  <c r="C89" i="5"/>
  <c r="C90" i="5" s="1"/>
  <c r="J87" i="5"/>
  <c r="I87" i="5"/>
  <c r="H87" i="5"/>
  <c r="G87" i="5"/>
  <c r="F87" i="5"/>
  <c r="E87" i="5"/>
  <c r="D87" i="5"/>
  <c r="C87" i="5"/>
  <c r="F83" i="5"/>
  <c r="F95" i="5" s="1"/>
  <c r="J72" i="5"/>
  <c r="I72" i="5"/>
  <c r="H72" i="5"/>
  <c r="G72" i="5"/>
  <c r="F72" i="5"/>
  <c r="E72" i="5"/>
  <c r="D72" i="5"/>
  <c r="C72" i="5"/>
  <c r="J69" i="5"/>
  <c r="I69" i="5"/>
  <c r="H69" i="5"/>
  <c r="G69" i="5"/>
  <c r="F69" i="5"/>
  <c r="E69" i="5"/>
  <c r="D69" i="5"/>
  <c r="C69" i="5"/>
  <c r="J66" i="5"/>
  <c r="I66" i="5"/>
  <c r="H66" i="5"/>
  <c r="G66" i="5"/>
  <c r="F66" i="5"/>
  <c r="E66" i="5"/>
  <c r="D66" i="5"/>
  <c r="C66" i="5"/>
  <c r="J64" i="5"/>
  <c r="I64" i="5"/>
  <c r="H64" i="5"/>
  <c r="G64" i="5"/>
  <c r="F64" i="5"/>
  <c r="E64" i="5"/>
  <c r="D64" i="5"/>
  <c r="C64" i="5"/>
  <c r="J61" i="5"/>
  <c r="I61" i="5"/>
  <c r="H61" i="5"/>
  <c r="G61" i="5"/>
  <c r="F61" i="5"/>
  <c r="E61" i="5"/>
  <c r="D61" i="5"/>
  <c r="C61" i="5"/>
  <c r="J46" i="5"/>
  <c r="I46" i="5"/>
  <c r="H46" i="5"/>
  <c r="G46" i="5"/>
  <c r="F46" i="5"/>
  <c r="E46" i="5"/>
  <c r="D46" i="5"/>
  <c r="C46" i="5"/>
  <c r="J43" i="5"/>
  <c r="I43" i="5"/>
  <c r="H43" i="5"/>
  <c r="G43" i="5"/>
  <c r="F43" i="5"/>
  <c r="E43" i="5"/>
  <c r="D43" i="5"/>
  <c r="C43" i="5"/>
  <c r="J40" i="5"/>
  <c r="I40" i="5"/>
  <c r="H40" i="5"/>
  <c r="G40" i="5"/>
  <c r="F40" i="5"/>
  <c r="E40" i="5"/>
  <c r="D40" i="5"/>
  <c r="C40" i="5"/>
  <c r="J38" i="5"/>
  <c r="I38" i="5"/>
  <c r="H38" i="5"/>
  <c r="G38" i="5"/>
  <c r="F38" i="5"/>
  <c r="E38" i="5"/>
  <c r="D38" i="5"/>
  <c r="C38" i="5"/>
  <c r="J35" i="5"/>
  <c r="I35" i="5"/>
  <c r="H35" i="5"/>
  <c r="G35" i="5"/>
  <c r="F35" i="5"/>
  <c r="E35" i="5"/>
  <c r="D35" i="5"/>
  <c r="C35" i="5"/>
  <c r="H20" i="5"/>
  <c r="F20" i="5"/>
  <c r="E20" i="5"/>
  <c r="D20" i="5"/>
  <c r="C20" i="5"/>
  <c r="H17" i="5"/>
  <c r="F17" i="5"/>
  <c r="E17" i="5"/>
  <c r="D17" i="5"/>
  <c r="C17" i="5"/>
  <c r="H14" i="5"/>
  <c r="F14" i="5"/>
  <c r="E14" i="5"/>
  <c r="D14" i="5"/>
  <c r="C14" i="5"/>
  <c r="H12" i="5"/>
  <c r="F12" i="5"/>
  <c r="D12" i="5"/>
  <c r="C12" i="5"/>
  <c r="E11" i="5"/>
  <c r="E12" i="5" s="1"/>
  <c r="H9" i="5"/>
  <c r="F9" i="5"/>
  <c r="E9" i="5"/>
  <c r="D9" i="5"/>
  <c r="C9" i="5"/>
  <c r="G5" i="5"/>
  <c r="G12" i="5" s="1"/>
  <c r="J111" i="4"/>
  <c r="I111" i="4"/>
  <c r="H111" i="4"/>
  <c r="G111" i="4"/>
  <c r="F111" i="4"/>
  <c r="E111" i="4"/>
  <c r="D111" i="4"/>
  <c r="C111" i="4"/>
  <c r="J109" i="4"/>
  <c r="J125" i="4" s="1"/>
  <c r="I109" i="4"/>
  <c r="I120" i="10" s="1"/>
  <c r="H109" i="4"/>
  <c r="H120" i="10" s="1"/>
  <c r="G109" i="4"/>
  <c r="G120" i="10" s="1"/>
  <c r="F109" i="4"/>
  <c r="F120" i="10" s="1"/>
  <c r="E109" i="4"/>
  <c r="E120" i="10" s="1"/>
  <c r="D109" i="4"/>
  <c r="D120" i="10" s="1"/>
  <c r="C109" i="4"/>
  <c r="C120" i="10" s="1"/>
  <c r="J99" i="4"/>
  <c r="I99" i="4"/>
  <c r="H99" i="4"/>
  <c r="G99" i="4"/>
  <c r="F99" i="4"/>
  <c r="E99" i="4"/>
  <c r="D99" i="4"/>
  <c r="C99" i="4"/>
  <c r="J98" i="4"/>
  <c r="I98" i="4"/>
  <c r="H98" i="4"/>
  <c r="G98" i="4"/>
  <c r="F98" i="4"/>
  <c r="E98" i="4"/>
  <c r="D98" i="4"/>
  <c r="C98" i="4"/>
  <c r="I95" i="4"/>
  <c r="H95" i="4"/>
  <c r="G95" i="4"/>
  <c r="F95" i="4"/>
  <c r="E95" i="4"/>
  <c r="D95" i="4"/>
  <c r="C95" i="4"/>
  <c r="J73" i="4"/>
  <c r="I73" i="4"/>
  <c r="H73" i="4"/>
  <c r="G73" i="4"/>
  <c r="F73" i="4"/>
  <c r="E73" i="4"/>
  <c r="D73" i="4"/>
  <c r="C73" i="4"/>
  <c r="J72" i="4"/>
  <c r="I72" i="4"/>
  <c r="H72" i="4"/>
  <c r="G72" i="4"/>
  <c r="F72" i="4"/>
  <c r="E72" i="4"/>
  <c r="D72" i="4"/>
  <c r="C72" i="4"/>
  <c r="J31" i="4"/>
  <c r="J42" i="10" s="1"/>
  <c r="I31" i="4"/>
  <c r="I42" i="10" s="1"/>
  <c r="H31" i="4"/>
  <c r="H42" i="10" s="1"/>
  <c r="G31" i="4"/>
  <c r="G42" i="10" s="1"/>
  <c r="F31" i="4"/>
  <c r="F42" i="10" s="1"/>
  <c r="E31" i="4"/>
  <c r="E42" i="10" s="1"/>
  <c r="D31" i="4"/>
  <c r="D42" i="10" s="1"/>
  <c r="C31" i="4"/>
  <c r="C42" i="10" s="1"/>
  <c r="J121" i="3"/>
  <c r="I121" i="3"/>
  <c r="H121" i="3"/>
  <c r="G121" i="3"/>
  <c r="F121" i="3"/>
  <c r="E121" i="3"/>
  <c r="D121" i="3"/>
  <c r="C121" i="3"/>
  <c r="J120" i="3"/>
  <c r="I120" i="3"/>
  <c r="H120" i="3"/>
  <c r="G120" i="3"/>
  <c r="F120" i="3"/>
  <c r="E120" i="3"/>
  <c r="D120" i="3"/>
  <c r="C120" i="3"/>
  <c r="J109" i="3"/>
  <c r="J125" i="3" s="1"/>
  <c r="I109" i="3"/>
  <c r="I125" i="3" s="1"/>
  <c r="H109" i="3"/>
  <c r="H125" i="3" s="1"/>
  <c r="G109" i="3"/>
  <c r="G125" i="3" s="1"/>
  <c r="F109" i="3"/>
  <c r="F125" i="3" s="1"/>
  <c r="E109" i="3"/>
  <c r="E125" i="3" s="1"/>
  <c r="D109" i="3"/>
  <c r="D125" i="3" s="1"/>
  <c r="C109" i="3"/>
  <c r="C125" i="3" s="1"/>
  <c r="J99" i="3"/>
  <c r="I99" i="3"/>
  <c r="H99" i="3"/>
  <c r="G99" i="3"/>
  <c r="F99" i="3"/>
  <c r="E99" i="3"/>
  <c r="D99" i="3"/>
  <c r="C99" i="3"/>
  <c r="J98" i="3"/>
  <c r="I98" i="3"/>
  <c r="H98" i="3"/>
  <c r="G98" i="3"/>
  <c r="F98" i="3"/>
  <c r="E98" i="3"/>
  <c r="D98" i="3"/>
  <c r="C98" i="3"/>
  <c r="J95" i="3"/>
  <c r="H95" i="3"/>
  <c r="G95" i="3"/>
  <c r="F95" i="3"/>
  <c r="E95" i="3"/>
  <c r="D95" i="3"/>
  <c r="C95" i="3"/>
  <c r="J94" i="3"/>
  <c r="H94" i="3"/>
  <c r="G94" i="3"/>
  <c r="F94" i="3"/>
  <c r="E94" i="3"/>
  <c r="D94" i="3"/>
  <c r="C94" i="3"/>
  <c r="I90" i="3"/>
  <c r="I89" i="3"/>
  <c r="J88" i="3"/>
  <c r="H88" i="3"/>
  <c r="G88" i="3"/>
  <c r="F88" i="3"/>
  <c r="E88" i="3"/>
  <c r="D88" i="3"/>
  <c r="C88" i="3"/>
  <c r="I87" i="3"/>
  <c r="I95" i="3" s="1"/>
  <c r="J86" i="3"/>
  <c r="H86" i="3"/>
  <c r="G86" i="3"/>
  <c r="F86" i="3"/>
  <c r="E86" i="3"/>
  <c r="D86" i="3"/>
  <c r="C86" i="3"/>
  <c r="I85" i="3"/>
  <c r="I86" i="3" s="1"/>
  <c r="J73" i="3"/>
  <c r="I73" i="3"/>
  <c r="G73" i="3"/>
  <c r="F73" i="3"/>
  <c r="E73" i="3"/>
  <c r="D73" i="3"/>
  <c r="C73" i="3"/>
  <c r="J72" i="3"/>
  <c r="I72" i="3"/>
  <c r="G72" i="3"/>
  <c r="F72" i="3"/>
  <c r="E72" i="3"/>
  <c r="D72" i="3"/>
  <c r="C72" i="3"/>
  <c r="J69" i="3"/>
  <c r="I69" i="3"/>
  <c r="G69" i="3"/>
  <c r="F69" i="3"/>
  <c r="E69" i="3"/>
  <c r="D69" i="3"/>
  <c r="C69" i="3"/>
  <c r="J68" i="3"/>
  <c r="I68" i="3"/>
  <c r="G68" i="3"/>
  <c r="F68" i="3"/>
  <c r="E68" i="3"/>
  <c r="D68" i="3"/>
  <c r="C68" i="3"/>
  <c r="J62" i="3"/>
  <c r="I62" i="3"/>
  <c r="H62" i="3"/>
  <c r="G62" i="3"/>
  <c r="F62" i="3"/>
  <c r="E62" i="3"/>
  <c r="D62" i="3"/>
  <c r="C62" i="3"/>
  <c r="J60" i="3"/>
  <c r="I60" i="3"/>
  <c r="H60" i="3"/>
  <c r="G60" i="3"/>
  <c r="F60" i="3"/>
  <c r="E60" i="3"/>
  <c r="D60" i="3"/>
  <c r="C60" i="3"/>
  <c r="J47" i="3"/>
  <c r="I47" i="3"/>
  <c r="H47" i="3"/>
  <c r="G47" i="3"/>
  <c r="C47" i="3"/>
  <c r="J46" i="3"/>
  <c r="I46" i="3"/>
  <c r="H46" i="3"/>
  <c r="G46" i="3"/>
  <c r="C46" i="3"/>
  <c r="J43" i="3"/>
  <c r="I43" i="3"/>
  <c r="H43" i="3"/>
  <c r="G43" i="3"/>
  <c r="F43" i="3"/>
  <c r="E43" i="3"/>
  <c r="D43" i="3"/>
  <c r="C43" i="3"/>
  <c r="J42" i="3"/>
  <c r="I42" i="3"/>
  <c r="H42" i="3"/>
  <c r="G42" i="3"/>
  <c r="F42" i="3"/>
  <c r="E42" i="3"/>
  <c r="D42" i="3"/>
  <c r="C42" i="3"/>
  <c r="J36" i="3"/>
  <c r="I36" i="3"/>
  <c r="H36" i="3"/>
  <c r="G36" i="3"/>
  <c r="C36" i="3"/>
  <c r="J34" i="3"/>
  <c r="I34" i="3"/>
  <c r="H34" i="3"/>
  <c r="G34" i="3"/>
  <c r="C34" i="3"/>
  <c r="F31" i="3"/>
  <c r="F47" i="3" s="1"/>
  <c r="E31" i="3"/>
  <c r="E47" i="3" s="1"/>
  <c r="D31" i="3"/>
  <c r="D47" i="3" s="1"/>
  <c r="I21" i="3"/>
  <c r="H21" i="3"/>
  <c r="G21" i="3"/>
  <c r="F21" i="3"/>
  <c r="E21" i="3"/>
  <c r="D21" i="3"/>
  <c r="C21" i="3"/>
  <c r="I20" i="3"/>
  <c r="H20" i="3"/>
  <c r="G20" i="3"/>
  <c r="F20" i="3"/>
  <c r="E20" i="3"/>
  <c r="D20" i="3"/>
  <c r="C20" i="3"/>
  <c r="I17" i="3"/>
  <c r="F17" i="3"/>
  <c r="E17" i="3"/>
  <c r="D17" i="3"/>
  <c r="C17" i="3"/>
  <c r="I16" i="3"/>
  <c r="G16" i="3"/>
  <c r="F16" i="3"/>
  <c r="E16" i="3"/>
  <c r="D16" i="3"/>
  <c r="C16" i="3"/>
  <c r="H13" i="3"/>
  <c r="G13" i="3"/>
  <c r="F13" i="3"/>
  <c r="J10" i="3"/>
  <c r="I10" i="3"/>
  <c r="F10" i="3"/>
  <c r="E10" i="3"/>
  <c r="D10" i="3"/>
  <c r="C10" i="3"/>
  <c r="H9" i="3"/>
  <c r="H10" i="3" s="1"/>
  <c r="G9" i="3"/>
  <c r="G10" i="3" s="1"/>
  <c r="J8" i="3"/>
  <c r="I8" i="3"/>
  <c r="H8" i="3"/>
  <c r="G8" i="3"/>
  <c r="F8" i="3"/>
  <c r="E8" i="3"/>
  <c r="D8" i="3"/>
  <c r="C8" i="3"/>
  <c r="J130" i="2"/>
  <c r="I130" i="2"/>
  <c r="H130" i="2"/>
  <c r="G130" i="2"/>
  <c r="F130" i="2"/>
  <c r="E130" i="2"/>
  <c r="D130" i="2"/>
  <c r="C130" i="2"/>
  <c r="J129" i="2"/>
  <c r="I129" i="2"/>
  <c r="H129" i="2"/>
  <c r="G129" i="2"/>
  <c r="F129" i="2"/>
  <c r="E129" i="2"/>
  <c r="D129" i="2"/>
  <c r="C129" i="2"/>
  <c r="I123" i="2"/>
  <c r="I114" i="2" s="1"/>
  <c r="I134" i="2" s="1"/>
  <c r="H123" i="2"/>
  <c r="G123" i="2"/>
  <c r="F123" i="2"/>
  <c r="E123" i="2"/>
  <c r="D123" i="2"/>
  <c r="C123" i="2"/>
  <c r="I122" i="2"/>
  <c r="H122" i="2"/>
  <c r="H114" i="2" s="1"/>
  <c r="H134" i="2" s="1"/>
  <c r="G122" i="2"/>
  <c r="G114" i="2" s="1"/>
  <c r="G134" i="2" s="1"/>
  <c r="F122" i="2"/>
  <c r="E122" i="2"/>
  <c r="D122" i="2"/>
  <c r="C122" i="2"/>
  <c r="I116" i="2"/>
  <c r="H116" i="2"/>
  <c r="G116" i="2"/>
  <c r="F116" i="2"/>
  <c r="E116" i="2"/>
  <c r="D116" i="2"/>
  <c r="C116" i="2"/>
  <c r="J114" i="2"/>
  <c r="J134" i="2" s="1"/>
  <c r="F114" i="2"/>
  <c r="F134" i="2" s="1"/>
  <c r="E114" i="2"/>
  <c r="E134" i="2" s="1"/>
  <c r="J107" i="2"/>
  <c r="I107" i="2"/>
  <c r="E107" i="2"/>
  <c r="D107" i="2"/>
  <c r="C107" i="2"/>
  <c r="J106" i="2"/>
  <c r="I106" i="2"/>
  <c r="E106" i="2"/>
  <c r="D106" i="2"/>
  <c r="C106" i="2"/>
  <c r="J103" i="2"/>
  <c r="I103" i="2"/>
  <c r="H103" i="2"/>
  <c r="G103" i="2"/>
  <c r="F103" i="2"/>
  <c r="C103" i="2"/>
  <c r="J102" i="2"/>
  <c r="I102" i="2"/>
  <c r="H102" i="2"/>
  <c r="G102" i="2"/>
  <c r="F102" i="2"/>
  <c r="C102" i="2"/>
  <c r="I99" i="2"/>
  <c r="G99" i="2"/>
  <c r="G87" i="2" s="1"/>
  <c r="F99" i="2"/>
  <c r="F87" i="2" s="1"/>
  <c r="E99" i="2"/>
  <c r="D99" i="2"/>
  <c r="C99" i="2"/>
  <c r="H87" i="2"/>
  <c r="H106" i="2" s="1"/>
  <c r="E86" i="2"/>
  <c r="E103" i="2" s="1"/>
  <c r="D86" i="2"/>
  <c r="D103" i="2" s="1"/>
  <c r="J80" i="2"/>
  <c r="I80" i="2"/>
  <c r="H80" i="2"/>
  <c r="G80" i="2"/>
  <c r="F80" i="2"/>
  <c r="E80" i="2"/>
  <c r="D80" i="2"/>
  <c r="C80" i="2"/>
  <c r="J79" i="2"/>
  <c r="I79" i="2"/>
  <c r="H79" i="2"/>
  <c r="G79" i="2"/>
  <c r="F79" i="2"/>
  <c r="E79" i="2"/>
  <c r="D79" i="2"/>
  <c r="C79" i="2"/>
  <c r="J76" i="2"/>
  <c r="I76" i="2"/>
  <c r="H76" i="2"/>
  <c r="G76" i="2"/>
  <c r="F76" i="2"/>
  <c r="E76" i="2"/>
  <c r="D76" i="2"/>
  <c r="C76" i="2"/>
  <c r="J75" i="2"/>
  <c r="I75" i="2"/>
  <c r="H75" i="2"/>
  <c r="G75" i="2"/>
  <c r="F75" i="2"/>
  <c r="E75" i="2"/>
  <c r="D75" i="2"/>
  <c r="C75" i="2"/>
  <c r="J49" i="2"/>
  <c r="I49" i="2"/>
  <c r="H49" i="2"/>
  <c r="G49" i="2"/>
  <c r="F49" i="2"/>
  <c r="E49" i="2"/>
  <c r="D49" i="2"/>
  <c r="C49" i="2"/>
  <c r="J48" i="2"/>
  <c r="I48" i="2"/>
  <c r="H48" i="2"/>
  <c r="G48" i="2"/>
  <c r="F48" i="2"/>
  <c r="E48" i="2"/>
  <c r="D48" i="2"/>
  <c r="C48" i="2"/>
  <c r="J33" i="2"/>
  <c r="J53" i="2" s="1"/>
  <c r="I33" i="2"/>
  <c r="I53" i="2" s="1"/>
  <c r="H33" i="2"/>
  <c r="H53" i="2" s="1"/>
  <c r="G33" i="2"/>
  <c r="G53" i="2" s="1"/>
  <c r="F33" i="2"/>
  <c r="F53" i="2" s="1"/>
  <c r="E33" i="2"/>
  <c r="E53" i="2" s="1"/>
  <c r="D33" i="2"/>
  <c r="D53" i="2" s="1"/>
  <c r="C33" i="2"/>
  <c r="C53" i="2" s="1"/>
  <c r="I26" i="2"/>
  <c r="H26" i="2"/>
  <c r="G26" i="2"/>
  <c r="E26" i="2"/>
  <c r="D26" i="2"/>
  <c r="C26" i="2"/>
  <c r="I25" i="2"/>
  <c r="H25" i="2"/>
  <c r="G25" i="2"/>
  <c r="E25" i="2"/>
  <c r="D25" i="2"/>
  <c r="C25" i="2"/>
  <c r="I22" i="2"/>
  <c r="H22" i="2"/>
  <c r="G22" i="2"/>
  <c r="F22" i="2"/>
  <c r="E22" i="2"/>
  <c r="D22" i="2"/>
  <c r="C22" i="2"/>
  <c r="J21" i="2"/>
  <c r="I21" i="2"/>
  <c r="H21" i="2"/>
  <c r="G21" i="2"/>
  <c r="F21" i="2"/>
  <c r="E21" i="2"/>
  <c r="D21" i="2"/>
  <c r="C21" i="2"/>
  <c r="F18" i="2"/>
  <c r="E18" i="2"/>
  <c r="D18" i="2"/>
  <c r="C18" i="2"/>
  <c r="D16" i="2"/>
  <c r="F8" i="2"/>
  <c r="F6" i="2" s="1"/>
  <c r="F25" i="2" s="1"/>
  <c r="C8" i="2"/>
  <c r="K140" i="11" l="1"/>
  <c r="K141" i="11"/>
  <c r="K145" i="11"/>
  <c r="K143" i="11"/>
  <c r="K136" i="11"/>
  <c r="K142" i="11"/>
  <c r="K135" i="11"/>
  <c r="K137" i="11"/>
  <c r="K138" i="11"/>
  <c r="K139" i="11"/>
  <c r="T48" i="11"/>
  <c r="K81" i="11"/>
  <c r="K75" i="11"/>
  <c r="K72" i="11"/>
  <c r="K73" i="11"/>
  <c r="K74" i="11"/>
  <c r="K76" i="11"/>
  <c r="K77" i="11"/>
  <c r="K78" i="11"/>
  <c r="K79" i="11"/>
  <c r="E49" i="9"/>
  <c r="C87" i="9"/>
  <c r="H7" i="11"/>
  <c r="D8" i="11"/>
  <c r="D11" i="11"/>
  <c r="Q42" i="11"/>
  <c r="P72" i="11"/>
  <c r="P80" i="11" s="1"/>
  <c r="O112" i="11"/>
  <c r="L136" i="11"/>
  <c r="C137" i="11"/>
  <c r="C138" i="11"/>
  <c r="X143" i="11"/>
  <c r="F49" i="9"/>
  <c r="F75" i="9"/>
  <c r="J62" i="10"/>
  <c r="I7" i="11"/>
  <c r="Q7" i="11"/>
  <c r="P8" i="11"/>
  <c r="P9" i="11"/>
  <c r="D10" i="11"/>
  <c r="P11" i="11"/>
  <c r="P13" i="11"/>
  <c r="L17" i="11"/>
  <c r="T31" i="11"/>
  <c r="T15" i="11" s="1"/>
  <c r="T16" i="11" s="1"/>
  <c r="R32" i="11"/>
  <c r="R17" i="11" s="1"/>
  <c r="T42" i="11"/>
  <c r="I45" i="11"/>
  <c r="S47" i="11"/>
  <c r="F72" i="11"/>
  <c r="R72" i="11"/>
  <c r="R80" i="11" s="1"/>
  <c r="V78" i="11"/>
  <c r="V79" i="11"/>
  <c r="V81" i="11"/>
  <c r="Q75" i="11"/>
  <c r="Q76" i="11"/>
  <c r="U108" i="11"/>
  <c r="J110" i="11"/>
  <c r="C113" i="11"/>
  <c r="L135" i="11"/>
  <c r="Y135" i="11"/>
  <c r="M136" i="11"/>
  <c r="D137" i="11"/>
  <c r="R137" i="11"/>
  <c r="D138" i="11"/>
  <c r="R138" i="11"/>
  <c r="L142" i="11"/>
  <c r="C143" i="11"/>
  <c r="M143" i="11"/>
  <c r="Y143" i="11"/>
  <c r="M145" i="11"/>
  <c r="G20" i="5"/>
  <c r="E75" i="9"/>
  <c r="P7" i="11"/>
  <c r="P14" i="11"/>
  <c r="P16" i="11" s="1"/>
  <c r="H17" i="11"/>
  <c r="Q41" i="11"/>
  <c r="Q43" i="11"/>
  <c r="Q47" i="11"/>
  <c r="F71" i="11"/>
  <c r="V77" i="11"/>
  <c r="R112" i="11"/>
  <c r="I110" i="11"/>
  <c r="C111" i="11"/>
  <c r="O111" i="11"/>
  <c r="X135" i="11"/>
  <c r="X142" i="11"/>
  <c r="L143" i="11"/>
  <c r="L145" i="11"/>
  <c r="C114" i="2"/>
  <c r="G49" i="9"/>
  <c r="G75" i="9"/>
  <c r="C101" i="9"/>
  <c r="J91" i="10"/>
  <c r="F16" i="11"/>
  <c r="Q9" i="11"/>
  <c r="H12" i="11"/>
  <c r="P15" i="11"/>
  <c r="Y48" i="11"/>
  <c r="J45" i="11"/>
  <c r="I49" i="11"/>
  <c r="J80" i="11"/>
  <c r="V71" i="11"/>
  <c r="I72" i="11"/>
  <c r="I80" i="11" s="1"/>
  <c r="F73" i="11"/>
  <c r="P73" i="11"/>
  <c r="P74" i="11"/>
  <c r="W96" i="11"/>
  <c r="W72" i="11" s="1"/>
  <c r="U103" i="11"/>
  <c r="F112" i="11"/>
  <c r="I105" i="11"/>
  <c r="C107" i="11"/>
  <c r="V107" i="11"/>
  <c r="I108" i="11"/>
  <c r="V108" i="11"/>
  <c r="I109" i="11"/>
  <c r="O110" i="11"/>
  <c r="C135" i="11"/>
  <c r="M135" i="11"/>
  <c r="C136" i="11"/>
  <c r="R136" i="11"/>
  <c r="F137" i="11"/>
  <c r="F138" i="11"/>
  <c r="M142" i="11"/>
  <c r="D143" i="11"/>
  <c r="D49" i="9"/>
  <c r="H48" i="11"/>
  <c r="H9" i="11"/>
  <c r="H14" i="11"/>
  <c r="H16" i="11" s="1"/>
  <c r="H15" i="11"/>
  <c r="K71" i="11"/>
  <c r="P75" i="11"/>
  <c r="D114" i="2"/>
  <c r="D7" i="11"/>
  <c r="L7" i="11"/>
  <c r="H8" i="11"/>
  <c r="I9" i="11"/>
  <c r="R10" i="11"/>
  <c r="R16" i="11" s="1"/>
  <c r="H11" i="11"/>
  <c r="L12" i="11"/>
  <c r="L14" i="11"/>
  <c r="I15" i="11"/>
  <c r="D48" i="11"/>
  <c r="Q39" i="11"/>
  <c r="I42" i="11"/>
  <c r="I48" i="11" s="1"/>
  <c r="I44" i="11"/>
  <c r="S46" i="11"/>
  <c r="I47" i="11"/>
  <c r="Y80" i="11"/>
  <c r="I73" i="11"/>
  <c r="I74" i="11"/>
  <c r="S74" i="11"/>
  <c r="F75" i="11"/>
  <c r="R75" i="11"/>
  <c r="P76" i="11"/>
  <c r="Z79" i="11"/>
  <c r="J103" i="11"/>
  <c r="X112" i="11"/>
  <c r="I104" i="11"/>
  <c r="O105" i="11"/>
  <c r="I111" i="11"/>
  <c r="V111" i="11"/>
  <c r="I113" i="11"/>
  <c r="E128" i="11"/>
  <c r="E104" i="11" s="1"/>
  <c r="F135" i="11"/>
  <c r="S144" i="11"/>
  <c r="F136" i="11"/>
  <c r="X139" i="11"/>
  <c r="L140" i="11"/>
  <c r="X140" i="11"/>
  <c r="X144" i="11" s="1"/>
  <c r="L141" i="11"/>
  <c r="C142" i="11"/>
  <c r="D145" i="11"/>
  <c r="H107" i="2"/>
  <c r="F74" i="11"/>
  <c r="I103" i="11"/>
  <c r="D144" i="11"/>
  <c r="C145" i="11"/>
  <c r="J49" i="9"/>
  <c r="J75" i="9"/>
  <c r="L8" i="11"/>
  <c r="L9" i="11"/>
  <c r="H10" i="11"/>
  <c r="L11" i="11"/>
  <c r="L13" i="11"/>
  <c r="D17" i="11"/>
  <c r="R48" i="11"/>
  <c r="J42" i="11"/>
  <c r="J44" i="11"/>
  <c r="M80" i="11"/>
  <c r="Z80" i="11"/>
  <c r="V73" i="11"/>
  <c r="I75" i="11"/>
  <c r="F76" i="11"/>
  <c r="R76" i="11"/>
  <c r="F77" i="11"/>
  <c r="P77" i="11"/>
  <c r="P78" i="11"/>
  <c r="O79" i="11"/>
  <c r="O80" i="11" s="1"/>
  <c r="L103" i="11"/>
  <c r="Y112" i="11"/>
  <c r="J104" i="11"/>
  <c r="O108" i="11"/>
  <c r="O109" i="11"/>
  <c r="C110" i="11"/>
  <c r="J111" i="11"/>
  <c r="J113" i="11"/>
  <c r="E110" i="11"/>
  <c r="U144" i="11"/>
  <c r="L139" i="11"/>
  <c r="C140" i="11"/>
  <c r="M140" i="11"/>
  <c r="Y140" i="11"/>
  <c r="M141" i="11"/>
  <c r="D142" i="11"/>
  <c r="F145" i="11"/>
  <c r="X80" i="11"/>
  <c r="X141" i="11"/>
  <c r="C85" i="6"/>
  <c r="C49" i="9"/>
  <c r="C75" i="9"/>
  <c r="J88" i="10"/>
  <c r="S39" i="11"/>
  <c r="X48" i="11"/>
  <c r="C80" i="11"/>
  <c r="V74" i="11"/>
  <c r="G77" i="11"/>
  <c r="R77" i="11"/>
  <c r="P79" i="11"/>
  <c r="Q96" i="11"/>
  <c r="Q81" i="11" s="1"/>
  <c r="Z112" i="11"/>
  <c r="V106" i="11"/>
  <c r="C108" i="11"/>
  <c r="C112" i="11" s="1"/>
  <c r="L111" i="11"/>
  <c r="V144" i="11"/>
  <c r="X137" i="11"/>
  <c r="X138" i="11"/>
  <c r="O140" i="11"/>
  <c r="R141" i="11"/>
  <c r="F107" i="2"/>
  <c r="F106" i="2"/>
  <c r="C134" i="2"/>
  <c r="C133" i="2"/>
  <c r="D134" i="2"/>
  <c r="D133" i="2"/>
  <c r="G107" i="2"/>
  <c r="G106" i="2"/>
  <c r="J52" i="2"/>
  <c r="J133" i="2"/>
  <c r="G17" i="3"/>
  <c r="I88" i="3"/>
  <c r="G112" i="3"/>
  <c r="G114" i="3"/>
  <c r="G124" i="3"/>
  <c r="G46" i="4"/>
  <c r="G47" i="4"/>
  <c r="H124" i="4"/>
  <c r="H125" i="4"/>
  <c r="G9" i="5"/>
  <c r="J117" i="10"/>
  <c r="N81" i="11"/>
  <c r="N77" i="11"/>
  <c r="N73" i="11"/>
  <c r="N78" i="11"/>
  <c r="N74" i="11"/>
  <c r="N79" i="11"/>
  <c r="N75" i="11"/>
  <c r="N71" i="11"/>
  <c r="C52" i="2"/>
  <c r="H17" i="3"/>
  <c r="H112" i="3"/>
  <c r="H114" i="3"/>
  <c r="H124" i="3"/>
  <c r="H46" i="4"/>
  <c r="H47" i="4"/>
  <c r="I124" i="4"/>
  <c r="I125" i="4"/>
  <c r="J120" i="10"/>
  <c r="K43" i="11"/>
  <c r="K41" i="11"/>
  <c r="K44" i="11"/>
  <c r="K45" i="11"/>
  <c r="K40" i="11"/>
  <c r="K46" i="11"/>
  <c r="K47" i="11"/>
  <c r="K39" i="11"/>
  <c r="K49" i="11"/>
  <c r="Z138" i="11"/>
  <c r="Z141" i="11"/>
  <c r="Z136" i="11"/>
  <c r="Z145" i="11"/>
  <c r="Z139" i="11"/>
  <c r="Z142" i="11"/>
  <c r="Z137" i="11"/>
  <c r="Z140" i="11"/>
  <c r="D52" i="2"/>
  <c r="H16" i="3"/>
  <c r="I94" i="3"/>
  <c r="I112" i="3"/>
  <c r="I114" i="3"/>
  <c r="I124" i="3"/>
  <c r="I46" i="4"/>
  <c r="I47" i="4"/>
  <c r="J124" i="4"/>
  <c r="S13" i="11"/>
  <c r="S8" i="11"/>
  <c r="S11" i="11"/>
  <c r="S14" i="11"/>
  <c r="S9" i="11"/>
  <c r="S12" i="11"/>
  <c r="S15" i="11"/>
  <c r="N49" i="11"/>
  <c r="N40" i="11"/>
  <c r="N39" i="11"/>
  <c r="N41" i="11"/>
  <c r="N72" i="11"/>
  <c r="W81" i="11"/>
  <c r="W77" i="11"/>
  <c r="W73" i="11"/>
  <c r="W78" i="11"/>
  <c r="W74" i="11"/>
  <c r="W79" i="11"/>
  <c r="W75" i="11"/>
  <c r="W71" i="11"/>
  <c r="G112" i="11"/>
  <c r="N113" i="11"/>
  <c r="N107" i="11"/>
  <c r="N110" i="11"/>
  <c r="N105" i="11"/>
  <c r="N108" i="11"/>
  <c r="N111" i="11"/>
  <c r="N103" i="11"/>
  <c r="N106" i="11"/>
  <c r="N109" i="11"/>
  <c r="W104" i="11"/>
  <c r="W113" i="11"/>
  <c r="W107" i="11"/>
  <c r="W110" i="11"/>
  <c r="W105" i="11"/>
  <c r="W108" i="11"/>
  <c r="W111" i="11"/>
  <c r="W103" i="11"/>
  <c r="W106" i="11"/>
  <c r="T111" i="11"/>
  <c r="T103" i="11"/>
  <c r="T106" i="11"/>
  <c r="T109" i="11"/>
  <c r="T104" i="11"/>
  <c r="T113" i="11"/>
  <c r="T107" i="11"/>
  <c r="T110" i="11"/>
  <c r="T105" i="11"/>
  <c r="J144" i="11"/>
  <c r="N145" i="11"/>
  <c r="N143" i="11"/>
  <c r="N142" i="11"/>
  <c r="N141" i="11"/>
  <c r="N140" i="11"/>
  <c r="N139" i="11"/>
  <c r="N138" i="11"/>
  <c r="N137" i="11"/>
  <c r="N136" i="11"/>
  <c r="N135" i="11"/>
  <c r="G143" i="11"/>
  <c r="G135" i="11"/>
  <c r="G138" i="11"/>
  <c r="G141" i="11"/>
  <c r="G136" i="11"/>
  <c r="G145" i="11"/>
  <c r="G139" i="11"/>
  <c r="G142" i="11"/>
  <c r="G137" i="11"/>
  <c r="P143" i="11"/>
  <c r="P135" i="11"/>
  <c r="P138" i="11"/>
  <c r="P141" i="11"/>
  <c r="P136" i="11"/>
  <c r="P145" i="11"/>
  <c r="P139" i="11"/>
  <c r="P142" i="11"/>
  <c r="P137" i="11"/>
  <c r="E52" i="2"/>
  <c r="E133" i="2"/>
  <c r="J112" i="3"/>
  <c r="J114" i="3"/>
  <c r="J124" i="3"/>
  <c r="J46" i="4"/>
  <c r="J47" i="4"/>
  <c r="C124" i="4"/>
  <c r="C125" i="4"/>
  <c r="G17" i="5"/>
  <c r="J128" i="9"/>
  <c r="J10" i="11"/>
  <c r="J13" i="11"/>
  <c r="J8" i="11"/>
  <c r="J11" i="11"/>
  <c r="J14" i="11"/>
  <c r="J17" i="11"/>
  <c r="J9" i="11"/>
  <c r="J12" i="11"/>
  <c r="Q145" i="11"/>
  <c r="Q140" i="11"/>
  <c r="Q136" i="11"/>
  <c r="Q137" i="11"/>
  <c r="Q138" i="11"/>
  <c r="Q139" i="11"/>
  <c r="Q141" i="11"/>
  <c r="Q142" i="11"/>
  <c r="F52" i="2"/>
  <c r="F133" i="2"/>
  <c r="C112" i="3"/>
  <c r="C114" i="3"/>
  <c r="C124" i="3"/>
  <c r="C46" i="4"/>
  <c r="C47" i="4"/>
  <c r="D124" i="4"/>
  <c r="D125" i="4"/>
  <c r="H39" i="10"/>
  <c r="H36" i="10"/>
  <c r="C102" i="9"/>
  <c r="C91" i="10"/>
  <c r="C88" i="10"/>
  <c r="G91" i="10"/>
  <c r="G88" i="10"/>
  <c r="S10" i="11"/>
  <c r="L48" i="11"/>
  <c r="U80" i="11"/>
  <c r="F26" i="2"/>
  <c r="G52" i="2"/>
  <c r="D102" i="2"/>
  <c r="G133" i="2"/>
  <c r="D34" i="3"/>
  <c r="D36" i="3"/>
  <c r="D46" i="3"/>
  <c r="D112" i="3"/>
  <c r="D114" i="3"/>
  <c r="D124" i="3"/>
  <c r="D46" i="4"/>
  <c r="D47" i="4"/>
  <c r="E124" i="4"/>
  <c r="E125" i="4"/>
  <c r="G14" i="5"/>
  <c r="H65" i="10"/>
  <c r="H62" i="10"/>
  <c r="J15" i="11"/>
  <c r="C48" i="11"/>
  <c r="P48" i="11"/>
  <c r="Z48" i="11"/>
  <c r="W76" i="11"/>
  <c r="E81" i="11"/>
  <c r="E77" i="11"/>
  <c r="E73" i="11"/>
  <c r="E78" i="11"/>
  <c r="E74" i="11"/>
  <c r="E79" i="11"/>
  <c r="E75" i="11"/>
  <c r="E71" i="11"/>
  <c r="G140" i="11"/>
  <c r="P140" i="11"/>
  <c r="H52" i="2"/>
  <c r="E102" i="2"/>
  <c r="H133" i="2"/>
  <c r="E34" i="3"/>
  <c r="E36" i="3"/>
  <c r="E46" i="3"/>
  <c r="E112" i="3"/>
  <c r="E114" i="3"/>
  <c r="E124" i="3"/>
  <c r="E46" i="4"/>
  <c r="E47" i="4"/>
  <c r="F124" i="4"/>
  <c r="F125" i="4"/>
  <c r="C117" i="10"/>
  <c r="C114" i="10"/>
  <c r="C128" i="9"/>
  <c r="G16" i="11"/>
  <c r="O16" i="11"/>
  <c r="Q48" i="11"/>
  <c r="Q135" i="11"/>
  <c r="Z135" i="11"/>
  <c r="I52" i="2"/>
  <c r="I133" i="2"/>
  <c r="F34" i="3"/>
  <c r="F36" i="3"/>
  <c r="F46" i="3"/>
  <c r="F112" i="3"/>
  <c r="F114" i="3"/>
  <c r="F124" i="3"/>
  <c r="F46" i="4"/>
  <c r="F47" i="4"/>
  <c r="G124" i="4"/>
  <c r="G125" i="4"/>
  <c r="H49" i="9"/>
  <c r="F115" i="6"/>
  <c r="F127" i="9"/>
  <c r="F118" i="9"/>
  <c r="L80" i="11"/>
  <c r="N76" i="11"/>
  <c r="E113" i="11"/>
  <c r="E107" i="11"/>
  <c r="E105" i="11"/>
  <c r="E108" i="11"/>
  <c r="E111" i="11"/>
  <c r="E103" i="11"/>
  <c r="E106" i="11"/>
  <c r="E109" i="11"/>
  <c r="C144" i="11"/>
  <c r="I49" i="9"/>
  <c r="I75" i="9"/>
  <c r="H102" i="9"/>
  <c r="C118" i="9"/>
  <c r="C36" i="10"/>
  <c r="C39" i="10"/>
  <c r="C62" i="10"/>
  <c r="C65" i="10"/>
  <c r="I17" i="11"/>
  <c r="I102" i="9"/>
  <c r="D128" i="9"/>
  <c r="D36" i="10"/>
  <c r="D39" i="10"/>
  <c r="D62" i="10"/>
  <c r="D65" i="10"/>
  <c r="D114" i="10"/>
  <c r="C12" i="11"/>
  <c r="K12" i="11"/>
  <c r="I14" i="11"/>
  <c r="Q14" i="11"/>
  <c r="S45" i="11"/>
  <c r="G72" i="11"/>
  <c r="S73" i="11"/>
  <c r="G76" i="11"/>
  <c r="S77" i="11"/>
  <c r="T96" i="11"/>
  <c r="U105" i="11"/>
  <c r="L108" i="11"/>
  <c r="H137" i="11"/>
  <c r="O139" i="11"/>
  <c r="Y142" i="11"/>
  <c r="O145" i="11"/>
  <c r="T160" i="11"/>
  <c r="T145" i="11" s="1"/>
  <c r="T142" i="11"/>
  <c r="E128" i="9"/>
  <c r="E36" i="10"/>
  <c r="E39" i="10"/>
  <c r="E62" i="10"/>
  <c r="E65" i="10"/>
  <c r="E114" i="10"/>
  <c r="C9" i="11"/>
  <c r="K9" i="11"/>
  <c r="K16" i="11" s="1"/>
  <c r="I11" i="11"/>
  <c r="Q11" i="11"/>
  <c r="C17" i="11"/>
  <c r="K17" i="11"/>
  <c r="S40" i="11"/>
  <c r="S44" i="11"/>
  <c r="U47" i="11"/>
  <c r="U46" i="11"/>
  <c r="U45" i="11"/>
  <c r="U44" i="11"/>
  <c r="U43" i="11"/>
  <c r="U42" i="11"/>
  <c r="U41" i="11"/>
  <c r="U40" i="11"/>
  <c r="U39" i="11"/>
  <c r="S81" i="11"/>
  <c r="L105" i="11"/>
  <c r="U110" i="11"/>
  <c r="O136" i="11"/>
  <c r="Y139" i="11"/>
  <c r="H142" i="11"/>
  <c r="Y145" i="11"/>
  <c r="F36" i="10"/>
  <c r="F39" i="10"/>
  <c r="F62" i="10"/>
  <c r="F65" i="10"/>
  <c r="I8" i="11"/>
  <c r="Q8" i="11"/>
  <c r="C14" i="11"/>
  <c r="K14" i="11"/>
  <c r="S43" i="11"/>
  <c r="S49" i="11"/>
  <c r="M49" i="11"/>
  <c r="M47" i="11"/>
  <c r="M46" i="11"/>
  <c r="M45" i="11"/>
  <c r="M44" i="11"/>
  <c r="M43" i="11"/>
  <c r="M42" i="11"/>
  <c r="M41" i="11"/>
  <c r="M40" i="11"/>
  <c r="M39" i="11"/>
  <c r="V47" i="11"/>
  <c r="V46" i="11"/>
  <c r="V45" i="11"/>
  <c r="V44" i="11"/>
  <c r="V43" i="11"/>
  <c r="V42" i="11"/>
  <c r="G71" i="11"/>
  <c r="S72" i="11"/>
  <c r="G75" i="11"/>
  <c r="S76" i="11"/>
  <c r="G79" i="11"/>
  <c r="H96" i="11"/>
  <c r="H81" i="11" s="1"/>
  <c r="D105" i="11"/>
  <c r="D112" i="11" s="1"/>
  <c r="M105" i="11"/>
  <c r="U107" i="11"/>
  <c r="L110" i="11"/>
  <c r="V110" i="11"/>
  <c r="U113" i="11"/>
  <c r="K128" i="11"/>
  <c r="Q105" i="11"/>
  <c r="Y136" i="11"/>
  <c r="Y144" i="11" s="1"/>
  <c r="H139" i="11"/>
  <c r="O141" i="11"/>
  <c r="I142" i="11"/>
  <c r="I144" i="11" s="1"/>
  <c r="R142" i="11"/>
  <c r="R144" i="11" s="1"/>
  <c r="H145" i="11"/>
  <c r="G128" i="9"/>
  <c r="G36" i="10"/>
  <c r="G39" i="10"/>
  <c r="G62" i="10"/>
  <c r="G65" i="10"/>
  <c r="G114" i="10"/>
  <c r="C11" i="11"/>
  <c r="K11" i="11"/>
  <c r="I13" i="11"/>
  <c r="Q13" i="11"/>
  <c r="S41" i="11"/>
  <c r="E64" i="11"/>
  <c r="E49" i="11" s="1"/>
  <c r="W47" i="11"/>
  <c r="W46" i="11"/>
  <c r="W45" i="11"/>
  <c r="W44" i="11"/>
  <c r="W43" i="11"/>
  <c r="W42" i="11"/>
  <c r="W41" i="11"/>
  <c r="W40" i="11"/>
  <c r="W39" i="11"/>
  <c r="U104" i="11"/>
  <c r="L107" i="11"/>
  <c r="D110" i="11"/>
  <c r="M110" i="11"/>
  <c r="L113" i="11"/>
  <c r="Q104" i="11"/>
  <c r="P113" i="11"/>
  <c r="P111" i="11"/>
  <c r="P110" i="11"/>
  <c r="P109" i="11"/>
  <c r="P108" i="11"/>
  <c r="P107" i="11"/>
  <c r="P106" i="11"/>
  <c r="P105" i="11"/>
  <c r="P104" i="11"/>
  <c r="P103" i="11"/>
  <c r="H136" i="11"/>
  <c r="O138" i="11"/>
  <c r="Y141" i="11"/>
  <c r="E160" i="11"/>
  <c r="E145" i="11" s="1"/>
  <c r="E135" i="11"/>
  <c r="H128" i="9"/>
  <c r="H88" i="10"/>
  <c r="H114" i="10"/>
  <c r="N42" i="11"/>
  <c r="N43" i="11"/>
  <c r="N44" i="11"/>
  <c r="N45" i="11"/>
  <c r="N46" i="11"/>
  <c r="N47" i="11"/>
  <c r="F49" i="11"/>
  <c r="F47" i="11"/>
  <c r="F46" i="11"/>
  <c r="F45" i="11"/>
  <c r="F44" i="11"/>
  <c r="F43" i="11"/>
  <c r="F42" i="11"/>
  <c r="O47" i="11"/>
  <c r="O46" i="11"/>
  <c r="O45" i="11"/>
  <c r="O44" i="11"/>
  <c r="O43" i="11"/>
  <c r="O42" i="11"/>
  <c r="O41" i="11"/>
  <c r="O40" i="11"/>
  <c r="O39" i="11"/>
  <c r="S71" i="11"/>
  <c r="G74" i="11"/>
  <c r="S75" i="11"/>
  <c r="L104" i="11"/>
  <c r="D107" i="11"/>
  <c r="M107" i="11"/>
  <c r="U109" i="11"/>
  <c r="Q128" i="11"/>
  <c r="Q107" i="11" s="1"/>
  <c r="Q111" i="11"/>
  <c r="H128" i="11"/>
  <c r="H106" i="11" s="1"/>
  <c r="O135" i="11"/>
  <c r="F90" i="5"/>
  <c r="F92" i="5"/>
  <c r="I128" i="9"/>
  <c r="I36" i="10"/>
  <c r="I62" i="10"/>
  <c r="I88" i="10"/>
  <c r="I114" i="10"/>
  <c r="G49" i="11"/>
  <c r="G47" i="11"/>
  <c r="G46" i="11"/>
  <c r="G45" i="11"/>
  <c r="G44" i="11"/>
  <c r="G43" i="11"/>
  <c r="G42" i="11"/>
  <c r="G41" i="11"/>
  <c r="G40" i="11"/>
  <c r="C16" i="11" l="1"/>
  <c r="H78" i="11"/>
  <c r="L144" i="11"/>
  <c r="Q103" i="11"/>
  <c r="O48" i="11"/>
  <c r="H75" i="11"/>
  <c r="I16" i="11"/>
  <c r="S48" i="11"/>
  <c r="T32" i="11"/>
  <c r="T17" i="11" s="1"/>
  <c r="I112" i="11"/>
  <c r="Q74" i="11"/>
  <c r="F80" i="11"/>
  <c r="Q73" i="11"/>
  <c r="E143" i="11"/>
  <c r="H74" i="11"/>
  <c r="U112" i="11"/>
  <c r="Q106" i="11"/>
  <c r="M144" i="11"/>
  <c r="V80" i="11"/>
  <c r="Q72" i="11"/>
  <c r="H79" i="11"/>
  <c r="Q16" i="11"/>
  <c r="M48" i="11"/>
  <c r="N112" i="11"/>
  <c r="W80" i="11"/>
  <c r="L16" i="11"/>
  <c r="F144" i="11"/>
  <c r="J112" i="11"/>
  <c r="Q79" i="11"/>
  <c r="Q71" i="11"/>
  <c r="Q80" i="11" s="1"/>
  <c r="D16" i="11"/>
  <c r="F48" i="11"/>
  <c r="H144" i="11"/>
  <c r="V112" i="11"/>
  <c r="H111" i="11"/>
  <c r="E142" i="11"/>
  <c r="H73" i="11"/>
  <c r="E137" i="11"/>
  <c r="H72" i="11"/>
  <c r="V48" i="11"/>
  <c r="G48" i="11"/>
  <c r="L112" i="11"/>
  <c r="E136" i="11"/>
  <c r="H109" i="11"/>
  <c r="M112" i="11"/>
  <c r="H71" i="11"/>
  <c r="J16" i="11"/>
  <c r="J48" i="11"/>
  <c r="Q78" i="11"/>
  <c r="Z144" i="11"/>
  <c r="S16" i="11"/>
  <c r="K80" i="11"/>
  <c r="Q77" i="11"/>
  <c r="K144" i="11"/>
  <c r="W48" i="11"/>
  <c r="E47" i="11"/>
  <c r="E39" i="11"/>
  <c r="T143" i="11"/>
  <c r="T135" i="11"/>
  <c r="N80" i="11"/>
  <c r="E46" i="11"/>
  <c r="E112" i="11"/>
  <c r="N144" i="11"/>
  <c r="G80" i="11"/>
  <c r="E45" i="11"/>
  <c r="T141" i="11"/>
  <c r="T79" i="11"/>
  <c r="T75" i="11"/>
  <c r="T71" i="11"/>
  <c r="T76" i="11"/>
  <c r="T72" i="11"/>
  <c r="T81" i="11"/>
  <c r="T77" i="11"/>
  <c r="T73" i="11"/>
  <c r="T78" i="11"/>
  <c r="T74" i="11"/>
  <c r="N48" i="11"/>
  <c r="H110" i="11"/>
  <c r="H103" i="11"/>
  <c r="E44" i="11"/>
  <c r="T140" i="11"/>
  <c r="H105" i="11"/>
  <c r="T112" i="11"/>
  <c r="O144" i="11"/>
  <c r="E43" i="11"/>
  <c r="T139" i="11"/>
  <c r="K48" i="11"/>
  <c r="E141" i="11"/>
  <c r="K106" i="11"/>
  <c r="K109" i="11"/>
  <c r="K104" i="11"/>
  <c r="K113" i="11"/>
  <c r="K107" i="11"/>
  <c r="K110" i="11"/>
  <c r="K105" i="11"/>
  <c r="K108" i="11"/>
  <c r="K111" i="11"/>
  <c r="K103" i="11"/>
  <c r="T138" i="11"/>
  <c r="E140" i="11"/>
  <c r="H108" i="11"/>
  <c r="E139" i="11"/>
  <c r="H77" i="11"/>
  <c r="E41" i="11"/>
  <c r="T137" i="11"/>
  <c r="F117" i="10"/>
  <c r="F114" i="10"/>
  <c r="F128" i="9"/>
  <c r="Q144" i="11"/>
  <c r="P144" i="11"/>
  <c r="W112" i="11"/>
  <c r="H113" i="11"/>
  <c r="H107" i="11"/>
  <c r="E42" i="11"/>
  <c r="Q113" i="11"/>
  <c r="Q110" i="11"/>
  <c r="Q109" i="11"/>
  <c r="Q108" i="11"/>
  <c r="Q112" i="11" s="1"/>
  <c r="S80" i="11"/>
  <c r="E138" i="11"/>
  <c r="E144" i="11" s="1"/>
  <c r="P112" i="11"/>
  <c r="H76" i="11"/>
  <c r="U48" i="11"/>
  <c r="E40" i="11"/>
  <c r="T136" i="11"/>
  <c r="H104" i="11"/>
  <c r="E80" i="11"/>
  <c r="G144" i="11"/>
  <c r="H80" i="11" l="1"/>
  <c r="T144" i="11"/>
  <c r="T80" i="11"/>
  <c r="E48" i="11"/>
  <c r="K112" i="11"/>
  <c r="H112" i="11"/>
</calcChain>
</file>

<file path=xl/sharedStrings.xml><?xml version="1.0" encoding="utf-8"?>
<sst xmlns="http://schemas.openxmlformats.org/spreadsheetml/2006/main" count="1190" uniqueCount="392">
  <si>
    <t>Klienttillströmning till kriminalvården</t>
  </si>
  <si>
    <t>Danmark</t>
  </si>
  <si>
    <t>Finland</t>
  </si>
  <si>
    <t>Island</t>
  </si>
  <si>
    <t>Norge</t>
  </si>
  <si>
    <t>Sverige</t>
  </si>
  <si>
    <t>Medelantal frihetsberövade per kategori</t>
  </si>
  <si>
    <t>Medelantal frivårdsklienter per kategori</t>
  </si>
  <si>
    <t>Rymningar direkt från anstalts- eller häktesområde</t>
  </si>
  <si>
    <t>Dödsfall i anstalter och häkten</t>
  </si>
  <si>
    <t>Anstalts- och häktesenheter, antal och tillgängliga platser vid årets slut</t>
  </si>
  <si>
    <t>Tillgängliga platser, beläggning och beläggningsprocent i medeltal</t>
  </si>
  <si>
    <t>Personal i kriminalvården i absoluta tal och i relation till antalet klienter</t>
  </si>
  <si>
    <t>Återfall i brott inom två år efter avgång från anstalt</t>
  </si>
  <si>
    <t xml:space="preserve">Påbörjade fängelsestraff </t>
  </si>
  <si>
    <t>Nytillkomna frivårdsklienter</t>
  </si>
  <si>
    <t>Därav</t>
  </si>
  <si>
    <t>Påbörjade fängelsestraff per 100 000 av</t>
  </si>
  <si>
    <t>Nytillkomna frivårdsklienter per 100 000 av</t>
  </si>
  <si>
    <t>övriga</t>
  </si>
  <si>
    <t>samhällstjänst</t>
  </si>
  <si>
    <t>samhällsstraff</t>
  </si>
  <si>
    <t>villkorlig frigivning med övervakning</t>
  </si>
  <si>
    <t>villkorlig dom med övervakning</t>
  </si>
  <si>
    <t>tillsyn av psykiskt sjuka som är kriminella</t>
  </si>
  <si>
    <t>villkorlig dom för trafikbrott med alkoholistbehandling/missbruksprogram</t>
  </si>
  <si>
    <t>kontraktsvård</t>
  </si>
  <si>
    <t>skyddstillsyn exkl. samhällstjänst och kontraktsvård</t>
  </si>
  <si>
    <t>elektronisk kontroll (intensivövervakning)</t>
  </si>
  <si>
    <t>utsluss med elektronisk kontroll</t>
  </si>
  <si>
    <t>folkmängden, 15 år eller äldre</t>
  </si>
  <si>
    <t>hela folkmängden</t>
  </si>
  <si>
    <t>1.1 Danmark</t>
  </si>
  <si>
    <t>1.2 Finland</t>
  </si>
  <si>
    <t>1.3 Island</t>
  </si>
  <si>
    <t>1.4 Norge</t>
  </si>
  <si>
    <t>1.5 Sverige</t>
  </si>
  <si>
    <t>2.1 Danmark</t>
  </si>
  <si>
    <t>2.2 Finland</t>
  </si>
  <si>
    <t>2.3 Island</t>
  </si>
  <si>
    <t>2.4 Norge</t>
  </si>
  <si>
    <t>2.5 Sverige</t>
  </si>
  <si>
    <t>Dömda per 100 000 av</t>
  </si>
  <si>
    <t>Samtliga frihetsberövade per 100 000 av</t>
  </si>
  <si>
    <t>häktade</t>
  </si>
  <si>
    <t>procent</t>
  </si>
  <si>
    <t>bötesförvandling</t>
  </si>
  <si>
    <t>inskrivna för förvaring</t>
  </si>
  <si>
    <t>dömda till fängelse</t>
  </si>
  <si>
    <t>övriga inskrivna</t>
  </si>
  <si>
    <t>3.1 Danmark</t>
  </si>
  <si>
    <t>3.2 Finland</t>
  </si>
  <si>
    <t>3.3 Island</t>
  </si>
  <si>
    <t>3.4 Norge</t>
  </si>
  <si>
    <t>3.5 Sverige</t>
  </si>
  <si>
    <t>därav</t>
  </si>
  <si>
    <t>Frivårdsklienter per 100 000 av</t>
  </si>
  <si>
    <t xml:space="preserve"> elektronisk kontroll (intensivövervakning)</t>
  </si>
  <si>
    <t xml:space="preserve">folkmängden, 15 år eller äldre </t>
  </si>
  <si>
    <t>kvinnor</t>
  </si>
  <si>
    <t>utländska medborgare</t>
  </si>
  <si>
    <t>livstidsdömda</t>
  </si>
  <si>
    <t>antal</t>
  </si>
  <si>
    <t xml:space="preserve"> därav nordiska </t>
  </si>
  <si>
    <t xml:space="preserve"> procent</t>
  </si>
  <si>
    <t>15 – 17 åringar</t>
  </si>
  <si>
    <t>Öppna anstalter</t>
  </si>
  <si>
    <t>Slutna anstalter och häkten</t>
  </si>
  <si>
    <t>Antal rymningar</t>
  </si>
  <si>
    <t xml:space="preserve">Rymningar per 100 000 vårddygn </t>
  </si>
  <si>
    <t>Rymningar per 100 000 vårddygn</t>
  </si>
  <si>
    <t>Antal självmord</t>
  </si>
  <si>
    <t>Övriga dödsfall</t>
  </si>
  <si>
    <t>Öppna anstaltsenheter</t>
  </si>
  <si>
    <t>Slutna anstaltsenheter</t>
  </si>
  <si>
    <t>Häktesenheter</t>
  </si>
  <si>
    <t>Totalt antal enheter</t>
  </si>
  <si>
    <t>antal enheter</t>
  </si>
  <si>
    <t>största enhet</t>
  </si>
  <si>
    <t>minsta enhet</t>
  </si>
  <si>
    <t>antal platser vid</t>
  </si>
  <si>
    <t>Genomsnittligt antal utdömda månader för fängelsestraff</t>
  </si>
  <si>
    <t>Slutna anstalter</t>
  </si>
  <si>
    <t>Häkten</t>
  </si>
  <si>
    <t>Totalt</t>
  </si>
  <si>
    <t>antal platser</t>
  </si>
  <si>
    <t>beläggning</t>
  </si>
  <si>
    <t>beläggningsprocent</t>
  </si>
  <si>
    <t>Personal per 100 intagna</t>
  </si>
  <si>
    <t>Frivården</t>
  </si>
  <si>
    <t>Personal per 100  frivårdsklienter</t>
  </si>
  <si>
    <t>Central administration</t>
  </si>
  <si>
    <t>Anstalter och häkten</t>
  </si>
  <si>
    <t>Mord, dråp och försök</t>
  </si>
  <si>
    <t>Våldsbrott och hot</t>
  </si>
  <si>
    <t>Narkotikabrott</t>
  </si>
  <si>
    <t>Tillgreppsbrott</t>
  </si>
  <si>
    <t>Rån</t>
  </si>
  <si>
    <t>Sexualbrott</t>
  </si>
  <si>
    <t>Ekonomiska brott</t>
  </si>
  <si>
    <t>Trafikbrott</t>
  </si>
  <si>
    <t>Övrigt</t>
  </si>
  <si>
    <t>Procent av alla</t>
  </si>
  <si>
    <t>N</t>
  </si>
  <si>
    <t>Män</t>
  </si>
  <si>
    <t>Kvinnor</t>
  </si>
  <si>
    <t>Huvudbrott - antal</t>
  </si>
  <si>
    <t>10.1 Danmark</t>
  </si>
  <si>
    <t>11.1 Danmark</t>
  </si>
  <si>
    <t>11.2 Finland</t>
  </si>
  <si>
    <t>11.3 Island</t>
  </si>
  <si>
    <t>11.4 Norge</t>
  </si>
  <si>
    <t>11.5 Sverige</t>
  </si>
  <si>
    <t>4.1 Danmark</t>
  </si>
  <si>
    <t>4.2 Finland</t>
  </si>
  <si>
    <t>4.3 Island</t>
  </si>
  <si>
    <t>4.4 Norge</t>
  </si>
  <si>
    <t>4.5 Sverige</t>
  </si>
  <si>
    <t>5.1 Danmark</t>
  </si>
  <si>
    <t>5.2 Finland</t>
  </si>
  <si>
    <t>5.3 Island</t>
  </si>
  <si>
    <t>5.4 Norge</t>
  </si>
  <si>
    <t>5.5 Sverige</t>
  </si>
  <si>
    <t>6.2 Finland</t>
  </si>
  <si>
    <t>6.3 Island</t>
  </si>
  <si>
    <t>6.4 Norge</t>
  </si>
  <si>
    <t>6.5 Sverige</t>
  </si>
  <si>
    <t>7.1 Danmark</t>
  </si>
  <si>
    <t>7.2 Finland</t>
  </si>
  <si>
    <t>7.3 Island</t>
  </si>
  <si>
    <t>7.4 Norge</t>
  </si>
  <si>
    <t>9.4 Norge</t>
  </si>
  <si>
    <t>10.2 Finland</t>
  </si>
  <si>
    <t>10.3 Island</t>
  </si>
  <si>
    <t>10.5 Sverige</t>
  </si>
  <si>
    <t>Antal klienter som avgått från anstalt</t>
  </si>
  <si>
    <t>Antal återfall i brott</t>
  </si>
  <si>
    <t>Andel återfall i brott</t>
  </si>
  <si>
    <t>Folkmängden 15 - 20 år</t>
  </si>
  <si>
    <t>Folkmängd</t>
  </si>
  <si>
    <r>
      <t xml:space="preserve">Folkmängden, </t>
    </r>
    <r>
      <rPr>
        <b/>
        <i/>
        <sz val="10"/>
        <rFont val="Calibri"/>
        <family val="2"/>
        <scheme val="minor"/>
      </rPr>
      <t>15 år eller äldre</t>
    </r>
  </si>
  <si>
    <r>
      <t>hela</t>
    </r>
    <r>
      <rPr>
        <i/>
        <sz val="10"/>
        <rFont val="Calibri"/>
        <family val="2"/>
        <scheme val="minor"/>
      </rPr>
      <t xml:space="preserve"> folkmängden</t>
    </r>
  </si>
  <si>
    <t>Tabell 1</t>
  </si>
  <si>
    <t>Tabell 2</t>
  </si>
  <si>
    <t>Tabell 3</t>
  </si>
  <si>
    <t>Tabell 4</t>
  </si>
  <si>
    <t>Tabell 5</t>
  </si>
  <si>
    <t>Tabell 6</t>
  </si>
  <si>
    <t>Tabell 7</t>
  </si>
  <si>
    <t>Tabell 8</t>
  </si>
  <si>
    <t>Tabell 9</t>
  </si>
  <si>
    <t>Tabell 10</t>
  </si>
  <si>
    <t>Tabell 11</t>
  </si>
  <si>
    <t>Tabell 12</t>
  </si>
  <si>
    <t>Innehållsförteckning</t>
  </si>
  <si>
    <t>Definitioner</t>
  </si>
  <si>
    <t>Beläggning</t>
  </si>
  <si>
    <t>Personer som upptar en plats som drivs av kriminalvården.</t>
  </si>
  <si>
    <t>Bötesförvandling</t>
  </si>
  <si>
    <t>De som tilldömts böter och inte betalat kan i stället få avtjäna en tid i fängelse. I Danmark, Island och Norge kan en person som först avtjänar en fängelsedom vara kvar i fängelse för att avtjäna bötesstraff.</t>
  </si>
  <si>
    <t>Bötesförvandling i Finland och Sverige innebär att den som döms till böter och inte kan betala, döms på nytt. I Sverige blir domen då fängelse i lägst fjorton dagar och högst tre månader. I Finland blir domen fängelse lägst fyra och högst 60 dagar.</t>
  </si>
  <si>
    <t>Avser de personer som har dött eller tagit sitt liv inne på anstalten eller inne på häktet. När den intagna skadat sig själv inne på anstalten eller häktet och senare dör av skadan utanför anstalten eller häktet, t.ex. på sjukhus, räknas även detta som självmord i fängelse respektive häkte.</t>
  </si>
  <si>
    <t>Dömda till fängelse</t>
  </si>
  <si>
    <t>Elektronisk kontroll</t>
  </si>
  <si>
    <t>I Danmark kan elektronisk övervakning, sedan maj 2013, ges då den dömde har ett fängelsestraff på upp till sex månader. Innan ändringen var det upp till fem månader. Den 1 juli 2013 infördes utsluss med elektronisk kontroll i Danmark. Utsluss kan ges då den dömde har upp till 6 månader kvar att avtjäna.</t>
  </si>
  <si>
    <t>Elektronisk kontroll har funnits i svensk kriminalvård sedan 1994. Från den 1 april 2005 kan man få avtjäna med elektronisk kontroll vid fängelsestraff på högst sex månader. Fotboja används också som en utslussåtgärd för intagna som är dömda till minst sex månaders fängelse.</t>
  </si>
  <si>
    <t>Enhet</t>
  </si>
  <si>
    <t>En hel eller en del av en anstalt. En anstalt som har en sluten och en öppen del räknas som två enheter. En anstalt som har två geografiskt åtskilda delar där båda är slutna/öppna räknas också som två enheter.</t>
  </si>
  <si>
    <t>Frivård</t>
  </si>
  <si>
    <t>Med frivård avses klienter som avtjänar sin verkställighet i frihet, motsvarande kriminalvård i frihet. Klienter med elektronisk kontroll ingår. Villkorligt frigivna med övervakning (på danska: tilsyn) ingår också.</t>
  </si>
  <si>
    <t>Förvaring</t>
  </si>
  <si>
    <t>Förvaring i Danmark är ett tidsobestämt straff som kan utdömas om en person begått ett allvarligt brott och utgör fara för andras liv. Rätten avgör när personen ska friges. I Norge är förvaring ett tidsobestämt straff som kan utdömas om en person begått ett allvarligt brott och rätten menar att det är risk för återfall. Det utdöms en maximitid och vanligtvis en minimitid som ska avtjänas. Den förvaringsdömda kan friges på prov när minimitiden är avtjänat. Maximitidet kan förlängas av domstolen.</t>
  </si>
  <si>
    <t>Häktade</t>
  </si>
  <si>
    <t>Personer misstänkta för brott som är frihetsberövade efter beslut av domstol. I Danmark och Norge ingår en liten grupp som är satt i fängelse enligt polisens order (i Danmark upp till 24 timmar och i Norge upp till 48 timmar).</t>
  </si>
  <si>
    <t>Häkte</t>
  </si>
  <si>
    <t>En sluten enhet där häktade med flera förvaras. I Danmark är begreppet arresthus. Københavns Fængsler ingår under häkten. Majoriteten av platserna används till häktade personer, och endast en liten andel till personer som verkställer ett fängelsestraff. Det samma gäller i Sverige. I Finland, Island och Norge finns inte några särskilda häkten utan häktade finns på vissa slutna anstalter.</t>
  </si>
  <si>
    <t>Huvudbrott</t>
  </si>
  <si>
    <r>
      <t>Det brott i domen som har den längsta strafftiden. I mord/dråp ingår planerat och oplanerat dråp och försök till mord eller dråp, men inte oaktsamt dödande. I narkotikabrott ingår även smuggling. Hot ingår i våldsbrott. Rattfylleri ingår i trafikbrott.</t>
    </r>
    <r>
      <rPr>
        <strike/>
        <sz val="12"/>
        <color theme="1"/>
        <rFont val="Garamond"/>
        <family val="1"/>
      </rPr>
      <t xml:space="preserve"> </t>
    </r>
  </si>
  <si>
    <t>Inskrivna</t>
  </si>
  <si>
    <t>Inskrivna avser alla som avtjänar en verkställighet inom Kriminalvården, det vill säga inom anstalt, häkte och frivård. Inskrivna inkluderar även klienter med pågående verkställighet som till exempel är på sjukhus, på behandlingshem eller någon form av utslussningsboende som inte tillhör kriminalvården. För häkte och anstalt inkluderas även vissa andra grupper som inte verkställer ett straff.</t>
  </si>
  <si>
    <t xml:space="preserve">Kontraktsvård </t>
  </si>
  <si>
    <t>Skyddstillsyn med särskild behandlingsplan finns endast i Sverige. En villkorlig dom som ersätter ett fängelsestraff på upp till två år. Förutom det som ingår i skyddstillsynen ska den dömde följa en särskild behandlingsplan. Påföljden är främst avsedd för missbrukare. Den dömde ska lämna sitt samtycke och innebär behandling på behandlingshem eller i öppenvård.</t>
  </si>
  <si>
    <t>Livstidsdömda</t>
  </si>
  <si>
    <t>Personer dömda till fängelse på livstid. I Danmark avgörs det om den dömde skall friges på prov när 12 år av straffet är avtjänat. Det bestäms en prövotid på upp till 5 år.</t>
  </si>
  <si>
    <t>Personal</t>
  </si>
  <si>
    <t>Den totala personalresursen oavsett sjukfrånvaro, uttryckt i årsarbetskrafter/heltidstjänster, som är anställda i kriminalvården. En person som arbetar halvtid och är anställd sex månader under ett budgetår är således 0,25 personalresurser.</t>
  </si>
  <si>
    <t>I Sverige är läkare normalt inte anställda, lärare är anställda av kriminalvården sedan år 2008.</t>
  </si>
  <si>
    <t>Personalkategorier som ingår i tabell 9.</t>
  </si>
  <si>
    <t>Personalkategorier</t>
  </si>
  <si>
    <t>Lärare för intagna</t>
  </si>
  <si>
    <t>Ja</t>
  </si>
  <si>
    <t>Delvis</t>
  </si>
  <si>
    <t>Nej</t>
  </si>
  <si>
    <t>Lärare för personal</t>
  </si>
  <si>
    <t>Vårdare i utbildning</t>
  </si>
  <si>
    <t>Vårdare i praktik</t>
  </si>
  <si>
    <t>Läkare</t>
  </si>
  <si>
    <t>Sjukvårdspersonal</t>
  </si>
  <si>
    <t>Kultur och fritid</t>
  </si>
  <si>
    <t>Behandlare/</t>
  </si>
  <si>
    <t>programledare</t>
  </si>
  <si>
    <t>Transporttjänsten</t>
  </si>
  <si>
    <t>Platser</t>
  </si>
  <si>
    <t>Tillgängliga platser dvs. platser som kan beläggas heldygn kontinuerligt och har varit eller kunde ha varit i bruk.</t>
  </si>
  <si>
    <t>Påbörjade fängelsestraff</t>
  </si>
  <si>
    <t>Personer som under perioden påbörjat verkställighet av frihetsberövande straff i fängelse och häkte. Bötesfångar och klienter med fotboja (elektronisk kontroll) är ej medräknade.</t>
  </si>
  <si>
    <t>Rymningar direkt från anstalt eller häkte</t>
  </si>
  <si>
    <t>Antalet gånger personer har avvikit direkt från anstalten eller häktets område (innanför fysiskt hinder på slutna anstalter och häkten). Om två personer avviker samtidigt räknas det alltså som två avvikelser.</t>
  </si>
  <si>
    <t>Samhällstjänst</t>
  </si>
  <si>
    <t>Skall ersätta ett fängelsestraff genom att den dömde utför oavlönat arbete i ett bestämt antal timmar. Arbetet utförs oftast för någon ideell förening. Den dömde ska lämna sitt samtycke.</t>
  </si>
  <si>
    <t xml:space="preserve">Samhällsstraff </t>
  </si>
  <si>
    <t xml:space="preserve"> I det norska ”samfunnsstraffet” skall de utdömda timmarna, från 30 till maximalt 420, avtjänas genom a) samhällsnyttigt arbete b) deltagande i programverksamhet eller c) andra åtgärder som syftar till att motverka återfall i ny kriminalitet. Samhällsnyttigt arbete motsvarar det som tidigare kallades "samfunnstjeneste" (samhällstjänst) i Norge. Den dömde ska lämna sitt samtycke. Samhällsstraff kombineras med övervakning.</t>
  </si>
  <si>
    <t>Skyddstillsyn</t>
  </si>
  <si>
    <t>Anstalter/enheter med någon form av rymningshinder.</t>
  </si>
  <si>
    <t xml:space="preserve">Straffbarhetsåldern </t>
  </si>
  <si>
    <t>I de nordiska länderna har straffbarhetsåldern hittills varit 15 år. Den 1 juli 2010 blev straffbarhetsåldern sänkt till 14 år i Danmark. I februari 2012 beslutade folketinget att ändra beslutet och straffbarhetsåldern är nu igen 15 år.</t>
  </si>
  <si>
    <t>Tillsyn av psykiskt sjuka som är kriminella</t>
  </si>
  <si>
    <t>Finns endast i Danmark. Personer som är psykiskt sjuka och som på grund av att de har begått brott är dömda till psykiatrisk vård samt tillsyn av frivården.</t>
  </si>
  <si>
    <t>Utländska medborgare</t>
  </si>
  <si>
    <t>Personer med utländskt medborgarskap oavsett var de är bosatta.</t>
  </si>
  <si>
    <t>Villkorlig dom med övervakning</t>
  </si>
  <si>
    <t xml:space="preserve">Villkorlig dom för trafikbrott med alkoholistbehandling / missbruksprogram </t>
  </si>
  <si>
    <t>I Danmark är övervakning med behandling av alkoholproblem ett villkorligt fängelsestraff som kan föreläggas om den dömdes alkoholkoncentration i blodet är högre än 2 promille eller om personen har återfallit i rattfylleri. Behandlingens längd bestäms av rätten, baserat på preliminär rapport framtagen av frivården. Vanligtvis pågår behandlingen under ett år. Den består normalt sett av behandling med Antabus två gånger i veckan samt medicinsk och social rådgivning.</t>
  </si>
  <si>
    <t>I Norge kan förare påverkade av alkohol, droger eller medicinering dömas till ett villkorligt fängelsestraff om den dömde deltar i ett behandlingsprogram. Det innehåller en bedömning av behovet av behandling, individuella samtal minst en gång var fjortonde dag samt 20 till 30 timmars utbildning som normalt sker i grupp. Den dömde ska lämna sitt samtycke. Majoriteten av deltagarna består av rattfyllerister.</t>
  </si>
  <si>
    <t>Villkorligt frigivna med övervakning</t>
  </si>
  <si>
    <t>De klienter som avtjänat fängelsestraff och frigivits efter att del av strafftiden avtjänats enligt särskilda regler. De som redovisas som frivårdsklienter är villkorligt frigivna som efter frigivningen har en övervakare. Villkor om missbruksvård m.m. kan förekomma.</t>
  </si>
  <si>
    <t>Återfall</t>
  </si>
  <si>
    <t>Till återfall räknas enbart brott som begås under aktuell uppföljningsperiod och där klienten genom lagakraftvunnen dom döms till en ny kriminalvårdspåföljd.  Detta innebär till exempel att domar som innebär enbart böter inte räknas som återfall. Uppföljningsperioden är två år.</t>
  </si>
  <si>
    <t>Populationen består av fängelsedömda klienter som avgått från anstalt under respektive år. I begreppet avgått från anstalt ingår även fängelsedömda klienter som avslutar sin anstaltsverkställighet på häkte. Klienter kan avgå från flera anstaltsverkställigheter under samma år vilket innebär att populationen inte utgörs av unika klienter. I populationen ingår inte klienter som under uppföljningsperioden har avlidit.</t>
  </si>
  <si>
    <t>Återfallssiffrorna bör främst användas för att få en förståelse för hur utvecklingen av återfall ser ut i respektive land. Siffrorna är inte jämförbara mellan länderna då det finns skillnader i hur rättsväsendet i de olika länderna fungerar. Andelen återfall redovisar utifrån när en klient döms till en ny påföljd vilket innebär att tiden från brott till dom blir viktig för nivån på återfall. Tiden mellan brott och dom varierar inte bara mellan länder, som en effekt av olika rättsväsenden, utan också utifrån olika brottstyper inom varje land då vissa typer av brott har längre handläggningstider. Inom varje land kan dessutom handläggningstiderna variera mellan år.</t>
  </si>
  <si>
    <t>Den typ av anstalt/enhet där egentliga rymningshinder inte finns.</t>
  </si>
  <si>
    <t>Teckenförklaring</t>
  </si>
  <si>
    <t>-</t>
  </si>
  <si>
    <t>noll</t>
  </si>
  <si>
    <t>mindre än 0,5</t>
  </si>
  <si>
    <t xml:space="preserve">. </t>
  </si>
  <si>
    <t>ingen adekvat uppgift</t>
  </si>
  <si>
    <t>..</t>
  </si>
  <si>
    <t>ingen uppgift</t>
  </si>
  <si>
    <t>Avrundning kan medföra att summan av talen i någon tabell avviker från totalen</t>
  </si>
  <si>
    <r>
      <t xml:space="preserve">samhällstjänst </t>
    </r>
    <r>
      <rPr>
        <vertAlign val="superscript"/>
        <sz val="10"/>
        <color theme="1"/>
        <rFont val="Calibri"/>
        <family val="2"/>
        <scheme val="minor"/>
      </rPr>
      <t>1)</t>
    </r>
  </si>
  <si>
    <t>Medelantal inskrivna frihetsberövade [1]</t>
  </si>
  <si>
    <t xml:space="preserve">[1] Mätning varje dag. </t>
  </si>
  <si>
    <t>[2] Villkorlig dom med samhällstjänst redovisas tillsammans med annan samhällstjänst.</t>
  </si>
  <si>
    <t>Medelantal inskrivna frivårdsklienter [1]</t>
  </si>
  <si>
    <t>samhällstjänst [2]</t>
  </si>
  <si>
    <t>[2] Från och med 1999 döms ungdomar i Sverige till sluten ungdomsvård som tidsbestämts av domstolen och som verkställs hos Statens Institutionsstyrelse.</t>
  </si>
  <si>
    <r>
      <t xml:space="preserve">15 – 17 åringar </t>
    </r>
    <r>
      <rPr>
        <sz val="10"/>
        <color theme="1"/>
        <rFont val="Calibri"/>
        <family val="2"/>
        <scheme val="minor"/>
      </rPr>
      <t>[2]</t>
    </r>
  </si>
  <si>
    <t>[1] Observera att återfallssiffrorna inte är direkt jämförbara mellan länderna, se definitionen för återfall.</t>
  </si>
  <si>
    <t xml:space="preserve">[1] Beräkningen grundar sig på utdömda straff för alla fängelsedomar i Danmark (sammanställd av Danmarks Statistik) Finland och Norge under aktuellt år. </t>
  </si>
  <si>
    <t xml:space="preserve">I Island och Sverige grundar sig beräkningen på utdömda straff i de fängelsedomar som kriminalvården mottagit under aktuellt år. Skillnaden i beräkningen </t>
  </si>
  <si>
    <t>kan ha en viss betydelse för resultatet, då straffnivån mellan länderna inte är direkt jämförbara. Skillnaden kommer dock inte påverka utvecklingen över tid.</t>
  </si>
  <si>
    <t xml:space="preserve">[1] Villkorlig dom med samhällstjänst redovisas tillsammans med annan samhällstjänst. </t>
  </si>
  <si>
    <r>
      <t xml:space="preserve">Central administration </t>
    </r>
    <r>
      <rPr>
        <sz val="10"/>
        <color theme="1"/>
        <rFont val="Calibri"/>
        <family val="2"/>
        <scheme val="minor"/>
      </rPr>
      <t>[2]</t>
    </r>
  </si>
  <si>
    <r>
      <t xml:space="preserve">Anstalter och häkten </t>
    </r>
    <r>
      <rPr>
        <sz val="10"/>
        <color theme="1"/>
        <rFont val="Calibri"/>
        <family val="2"/>
        <scheme val="minor"/>
      </rPr>
      <t>[3]</t>
    </r>
  </si>
  <si>
    <r>
      <t xml:space="preserve">9.5 Sverige </t>
    </r>
    <r>
      <rPr>
        <vertAlign val="superscript"/>
        <sz val="13"/>
        <color theme="1"/>
        <rFont val="Calibri"/>
        <family val="2"/>
        <scheme val="minor"/>
      </rPr>
      <t>[1]</t>
    </r>
  </si>
  <si>
    <r>
      <t xml:space="preserve">7.5 Sverige </t>
    </r>
    <r>
      <rPr>
        <vertAlign val="superscript"/>
        <sz val="13"/>
        <color theme="1"/>
        <rFont val="Calibri"/>
        <family val="2"/>
        <scheme val="minor"/>
      </rPr>
      <t>[1]</t>
    </r>
  </si>
  <si>
    <r>
      <t xml:space="preserve">8.5 Sverige </t>
    </r>
    <r>
      <rPr>
        <vertAlign val="superscript"/>
        <sz val="13"/>
        <color theme="1"/>
        <rFont val="Calibri"/>
        <family val="2"/>
        <scheme val="minor"/>
      </rPr>
      <t>[1]</t>
    </r>
  </si>
  <si>
    <r>
      <t>Huvudbrott - procent</t>
    </r>
    <r>
      <rPr>
        <sz val="10"/>
        <color theme="1"/>
        <rFont val="Calibri"/>
        <family val="2"/>
        <scheme val="minor"/>
      </rPr>
      <t>[1]</t>
    </r>
  </si>
  <si>
    <r>
      <t xml:space="preserve">Genomsnittligt antal utdömda månader för fängelsestraff </t>
    </r>
    <r>
      <rPr>
        <b/>
        <vertAlign val="superscript"/>
        <sz val="13"/>
        <color theme="1"/>
        <rFont val="Calibri"/>
        <family val="2"/>
        <scheme val="minor"/>
      </rPr>
      <t>[1]</t>
    </r>
  </si>
  <si>
    <t>[1] Tillsyn under behandlingsbestämt avtjänande av straff, sexualbrottsdömda i behandling och vid åtalsunderlåtelse.</t>
  </si>
  <si>
    <t>övriga [1]</t>
  </si>
  <si>
    <t>[1] Tillsynen sköts av fängelsepersonal.</t>
  </si>
  <si>
    <t>[2] Ungdomsstraff.</t>
  </si>
  <si>
    <t>utsluss med elektronisk kontroll [1]</t>
  </si>
  <si>
    <t>övriga [2]</t>
  </si>
  <si>
    <t>samhällstjänst [1]</t>
  </si>
  <si>
    <t xml:space="preserve">[2] Till största delen förvartagna enligt utlänningslagen. Frihetsberövade asylansökande placerade på kriminalvårdens asylplatser ingår inte. </t>
  </si>
  <si>
    <t>övriga inskrivna [2]</t>
  </si>
  <si>
    <t xml:space="preserve">[1] Mätning två gånger per månad. Inskrivna som är olovligen frånvarande (ca. 50 personer) ingår i mätningen. </t>
  </si>
  <si>
    <t>häktade [2]</t>
  </si>
  <si>
    <t>[1] Mätning varje dag</t>
  </si>
  <si>
    <t>[2] Inskrivna på ett privat "halfway house".</t>
  </si>
  <si>
    <t>[2] Häktade enligt utlänningslagen ingår.</t>
  </si>
  <si>
    <t>[1] Mätning 1 gång per månad.</t>
  </si>
  <si>
    <t>[2] Tillsynen sköts av fängelsepersonal.</t>
  </si>
  <si>
    <t>[3] Ungdomsstraff  ingår, särredovisas inte här.</t>
  </si>
  <si>
    <t>utsluss med elektronisk kontroll [2]</t>
  </si>
  <si>
    <t>övriga [3]</t>
  </si>
  <si>
    <t xml:space="preserve">[3] Åtalsunderlåtelse med övervakning. </t>
  </si>
  <si>
    <t>[1] Den 1 september. I fängelsedömda ingår inte frånvarande på grund av att uppgifter saknas för dessa.</t>
  </si>
  <si>
    <r>
      <t xml:space="preserve">Öppna anstaltsenheter </t>
    </r>
    <r>
      <rPr>
        <sz val="10"/>
        <color theme="1"/>
        <rFont val="Calibri"/>
        <family val="2"/>
        <scheme val="minor"/>
      </rPr>
      <t>[1]</t>
    </r>
  </si>
  <si>
    <r>
      <t xml:space="preserve">Slutna anstaltsenheter </t>
    </r>
    <r>
      <rPr>
        <sz val="10"/>
        <color theme="1"/>
        <rFont val="Calibri"/>
        <family val="2"/>
        <scheme val="minor"/>
      </rPr>
      <t>[2]</t>
    </r>
  </si>
  <si>
    <t xml:space="preserve">[1] Mätning varje dag. I Danmark finns dessutom ett antal s.k. pensioner (halfway-houses) som huvudsakligen används för klienter under övervakning samt dömda som utplaceras </t>
  </si>
  <si>
    <r>
      <t xml:space="preserve">8.1 Danmark </t>
    </r>
    <r>
      <rPr>
        <vertAlign val="superscript"/>
        <sz val="13"/>
        <color theme="1"/>
        <rFont val="Calibri"/>
        <family val="2"/>
        <scheme val="minor"/>
      </rPr>
      <t>[1]</t>
    </r>
  </si>
  <si>
    <t>[1] Mätning 2 gånger per månad.</t>
  </si>
  <si>
    <t>[2] I Finland bedrivs häktesverksamhet på vissa av de slutna anstalterna.</t>
  </si>
  <si>
    <r>
      <t xml:space="preserve">8.2 Finland </t>
    </r>
    <r>
      <rPr>
        <vertAlign val="superscript"/>
        <sz val="13"/>
        <color theme="1"/>
        <rFont val="Calibri"/>
        <family val="2"/>
        <scheme val="minor"/>
      </rPr>
      <t>[1]</t>
    </r>
  </si>
  <si>
    <r>
      <t xml:space="preserve">Häkten </t>
    </r>
    <r>
      <rPr>
        <sz val="10"/>
        <color theme="1"/>
        <rFont val="Calibri"/>
        <family val="2"/>
        <scheme val="minor"/>
      </rPr>
      <t>[2]</t>
    </r>
  </si>
  <si>
    <t>[1] Mätning varje dag.</t>
  </si>
  <si>
    <r>
      <t xml:space="preserve">8.3 Island </t>
    </r>
    <r>
      <rPr>
        <vertAlign val="superscript"/>
        <sz val="13"/>
        <color theme="1"/>
        <rFont val="Calibri"/>
        <family val="2"/>
        <scheme val="minor"/>
      </rPr>
      <t>[1]</t>
    </r>
  </si>
  <si>
    <t>beläggning [2]</t>
  </si>
  <si>
    <t>[2] "Overgangsboliger" är medräknade i öppna anstalter.</t>
  </si>
  <si>
    <r>
      <t xml:space="preserve">8.4 Norge </t>
    </r>
    <r>
      <rPr>
        <vertAlign val="superscript"/>
        <sz val="13"/>
        <color theme="1"/>
        <rFont val="Calibri"/>
        <family val="2"/>
        <scheme val="minor"/>
      </rPr>
      <t>[1]</t>
    </r>
  </si>
  <si>
    <t>antal platser [2]</t>
  </si>
  <si>
    <r>
      <t xml:space="preserve">9.1 Danmark </t>
    </r>
    <r>
      <rPr>
        <vertAlign val="superscript"/>
        <sz val="13"/>
        <color theme="1"/>
        <rFont val="Calibri"/>
        <family val="2"/>
        <scheme val="minor"/>
      </rPr>
      <t>[1]</t>
    </r>
  </si>
  <si>
    <t>[2] Siffran inkluderar endast personal som är anställda av kriminalvården. Från och med 2016 har kriminalvården inte någon anställd sjukvårdpersonal.</t>
  </si>
  <si>
    <t>[1] Personal i regioncentrumen inkluderas i central administration. Fördelningen av personal mellan anstalt och frivård är skattad. Siffran inkluderar inte personal i Brottspåföljdssektorns utbildningscentral.</t>
  </si>
  <si>
    <r>
      <t xml:space="preserve">9.2 Finland </t>
    </r>
    <r>
      <rPr>
        <vertAlign val="superscript"/>
        <sz val="13"/>
        <color theme="1"/>
        <rFont val="Calibri"/>
        <family val="2"/>
        <scheme val="minor"/>
      </rPr>
      <t>[1]</t>
    </r>
  </si>
  <si>
    <r>
      <t xml:space="preserve">Anstalter och häkten </t>
    </r>
    <r>
      <rPr>
        <sz val="10"/>
        <color theme="1"/>
        <rFont val="Calibri"/>
        <family val="2"/>
        <scheme val="minor"/>
      </rPr>
      <t>[2]</t>
    </r>
  </si>
  <si>
    <r>
      <t xml:space="preserve">Huvudbrott - procent </t>
    </r>
    <r>
      <rPr>
        <sz val="10"/>
        <color theme="1"/>
        <rFont val="Calibri"/>
        <family val="2"/>
        <scheme val="minor"/>
      </rPr>
      <t>[1]</t>
    </r>
  </si>
  <si>
    <t>10.4 Norge</t>
  </si>
  <si>
    <t>central administration. Siffran för 2014 är inte jämförbar med senare år, detta då siffran för anstalter och häkten utgår ifrån faktisk arbetad tid samt att transportverksamheten ingår. Från och med år 2015</t>
  </si>
  <si>
    <t>ett övertagande av transporter från andra myndigheter.</t>
  </si>
  <si>
    <t xml:space="preserve">Personal per 100 intagna </t>
  </si>
  <si>
    <t>[2] Inkluderar från och med 2015 fängelset Norgerhaven (242 platser) som hyrs i Nederländerna (Holland). Hyresavtalet gick ut den 1. september 2018.</t>
  </si>
  <si>
    <r>
      <t xml:space="preserve">Återfall i brott inom två år efter avgång från anstalt </t>
    </r>
    <r>
      <rPr>
        <vertAlign val="superscript"/>
        <sz val="13"/>
        <color theme="1"/>
        <rFont val="Calibri"/>
        <family val="2"/>
        <scheme val="minor"/>
      </rPr>
      <t>[1]</t>
    </r>
  </si>
  <si>
    <t>[2] Tillsynen sköts av fängelsepersonal (mätning hver dag).</t>
  </si>
  <si>
    <t>[1] Mätning 1 gång per månad (derav utsluss med EK mätning hver dag).</t>
  </si>
  <si>
    <r>
      <t xml:space="preserve">Nationella transportenheten </t>
    </r>
    <r>
      <rPr>
        <sz val="10"/>
        <color theme="1"/>
        <rFont val="Calibri"/>
        <family val="2"/>
        <scheme val="minor"/>
      </rPr>
      <t>[3]</t>
    </r>
  </si>
  <si>
    <t>.</t>
  </si>
  <si>
    <t>Dömda till fängelse en bestämd dag</t>
  </si>
  <si>
    <r>
      <t xml:space="preserve">Dömda till fängelse en bestämd dag </t>
    </r>
    <r>
      <rPr>
        <sz val="10"/>
        <color theme="1"/>
        <rFont val="Calibri"/>
        <family val="2"/>
        <scheme val="minor"/>
      </rPr>
      <t>[1]</t>
    </r>
  </si>
  <si>
    <t xml:space="preserve">Personer dömda till fängelse som avtjänar straff i eller utanför anstalt, eller i häkte. Elektronisk kontroll och utsluss med elektronisk kontroll ("back door") är inte inkluderad. </t>
  </si>
  <si>
    <t>Ett alternativt sätt att verkställa ett utdömt fängelsestraff är användning av s.k. fotboja (intensivövervakning). För att kunna avtjäna med fotboja skall den dömde ha egen bostad, arbete eller delta i utbildning. Det krävs också medgivande från samboende. Klienter med fotboja har förbud att vistas utanför bostaden annat än på särskilt angivna tider och för särskilda ändamål, som t.ex. arbete eller inköp. Efterlevnaden av förbudet kontrolleras med elektronisk utrustning. Det är även förbjudet att använda alkohol eller droger. Elektronisk kontroll kan även avtjänas i form av utsluss ("back door")</t>
  </si>
  <si>
    <t>Dömda till fängelse uppdelat på kön och huvudbrott - en bestämd dag i procent</t>
  </si>
  <si>
    <t>[1] Den 1 september. Fängelsedömda inkluderar frånvarande.</t>
  </si>
  <si>
    <t>[1] Den 1 oktober. Fängelsedömda inkluderar frånvarande.</t>
  </si>
  <si>
    <t>[1] Den 1 september. Fängelsedömda inkluderar frånvarande. Bötesfångar ingår inte.</t>
  </si>
  <si>
    <t>Antal återfall i brott [1]</t>
  </si>
  <si>
    <t>[1] Frigivna med ogiltiga personnummer ingår inte och 2016 var det 96.</t>
  </si>
  <si>
    <t>Bötestjänst innebär att avtjäna med samhällstjänst för de som inte kan betala sin böter.</t>
  </si>
  <si>
    <t>Kriminalomsorgens transporttjänst ingår i personal på anstalter från och med 2015.</t>
  </si>
  <si>
    <t>De klienter som får en tidsbestämd villkorlig dom till fängelse. I Danmark kan det även förekomma att det inte är fastställt något tidsbestämt straff i den villkorliga domen. Under en viss prövotid kan domen omvandlas till fängelse om nya brott begås eller vid misskötsamhet. En villkorlig dom till fängelse kan i vissa fall kombineras med övervakning och i Norge är detta alltid fallet. I Danmark, Island och Norge kan även villkor om narkotika- och alkoholbehandling förekomma. I Finland gällde övervakning av villkorligt fängelse fram till år 2020 endast gärningsmän under 21 år. Från och med ingången av 2020 utvidgades arrangemanget till att omfatta även vuxna.</t>
  </si>
  <si>
    <t>[1] Mätning varje dag. Ny definition för anstalt från och med år 2017 och för häkte från och med år 2019. Häkte har för år 2017-2018  skattats utifrån den definition som användes till och med år 2016.</t>
  </si>
  <si>
    <t>Totalt  [3]</t>
  </si>
  <si>
    <r>
      <t xml:space="preserve">9.3 Island  </t>
    </r>
    <r>
      <rPr>
        <b/>
        <sz val="10"/>
        <color theme="1"/>
        <rFont val="Calibri"/>
        <family val="2"/>
        <scheme val="minor"/>
      </rPr>
      <t>[1]</t>
    </r>
  </si>
  <si>
    <t>[1] Årsarbetskrafter.</t>
  </si>
  <si>
    <t>[2] Siffran inkluderar inte lärare för intagna, lärare för personal och sjukvårdspersonal.</t>
  </si>
  <si>
    <t xml:space="preserve"> I Danmark kombineras samhällstjänst med övervakning. I Sverige kombineras samhällstjänst också med övervakning i form av skyddstillsyn. I Sverige finns också påföljden villkorlig dom med föreskrift om samhällstjänst. Den som döms till denna påföljd står inte under övervakning. I Island kan kriminalvårdstyrelsen besluta om samhällstjänst när den dömda har en ovillkorlig dom på högst 12 månader (från 30 mars 2016) och från 10 juli 2021 är det 24 månader. Personer som är dömda till böter och inte betalar, kan också få avtjäna samhällstjänst. I Norge pågår ett liknande försök där de som inte betalar utför samhällsnyttigt arbete.</t>
  </si>
  <si>
    <t>I Sverige räknas klienten som livstidsdömd fram till dess straffet blivit tidsbestämt av domstol (från november 2006) eller beviljats nåd. En livstidsdömd kan ansöka om tidsbestämning när 10 år av straffet har avtjänats. Tiden kan inte bestämmas till kortare än 18 år. I Finland kan domstolen från den 1 oktober 2006 avgöra om den dömde ska friges villkorligt när 12 år av straffet har avtjänats. Om den dömde vid brottstillfället var under 21 år gäller istället 10 år. Frigivning kan också ske genom benådning. Ingen i Island är livstidsdömd, men straffet finns i isländsk lagstiftning. Norge har inte livstidsstraff.</t>
  </si>
  <si>
    <t>I Island och Norge räknas personen då i kategorin bötesförvandling. I Island kan personer som är dömda till böter överstigande ungefär € 670 (100 000 isländska kronor) och inte betalar, också få avtjäna samhällstjänst. I Norge pågår ett liknande försök med samhällstjänst för de som inte betalar.</t>
  </si>
  <si>
    <t>[1]  Fr.o.m. 2015 redovisas årsarbetskrafter utifrån verksamhetsgren, transportverksamhet och administration.</t>
  </si>
  <si>
    <t xml:space="preserve">[3] Enheter som har både öppna och slutna platser blir placerat efter vad det är flest av. </t>
  </si>
  <si>
    <t xml:space="preserve">med funktioner som är gemensamma för alla institutioner såsom hundförare, resepersonal, gemensamma utgifter och 2014, 2015 och 2016 IT anställda, </t>
  </si>
  <si>
    <t xml:space="preserve">Ökningen från 2015 till 2016 beror främst på att ca. 95 uniformerade chefer och ledare, som tidigare ingick i gruppen </t>
  </si>
  <si>
    <t>uniformerad personal (föreståndare och arbetsledare), är registrerade som 'ledning' till följd av en ny lednings- och institutionsstruktur som trädde i kraft 2016.</t>
  </si>
  <si>
    <t>[3] Sista kvartalet 2018 upprättades en nationell transportenhet.</t>
  </si>
  <si>
    <t xml:space="preserve">[3] År 2014 var andelen inskrivna enligt utlänningslagen 45 procent av denna grupp, år 2021 utgjorde den 70 procent. </t>
  </si>
  <si>
    <t>[1] "Overgangsboliger" är medräknade i öppna anstaltsenheter.</t>
  </si>
  <si>
    <t>sjukvårdspersonal (år 2017 ca 120) och bibliotekarier (år 2017 ca 20). Från och med 2015 ingår norska kriminalvårdens transporttjänst (år 2020 ca. 51 ).</t>
  </si>
  <si>
    <t xml:space="preserve">[1] Frigivna med ogiltiga personnummer ingår inte och 2016 var det 998. Siffrorna för 2015 - 2018 baseras på datumet för återfall i den nya domen. </t>
  </si>
  <si>
    <t xml:space="preserve">[2] År 2021 utgör narkotikaprogram med domstolskontroll (350), avtjänande i hemmet med särskilda villkor (9), bötestjänst (173) och tillsyn av frigivna från förvaring (32). </t>
  </si>
  <si>
    <t xml:space="preserve">Antal återfall i brott </t>
  </si>
  <si>
    <t>Antal klienter som avgått från anstalt [1]</t>
  </si>
  <si>
    <t xml:space="preserve">[2] I Finland var dessutom 80 (2014), 85 (2015) , 81 (2016), 73 (2017), 69 (2018), 41 (2019), 32 (2020) och 25 (2021) häktade på polisarrest. </t>
  </si>
  <si>
    <t>I Danmark är både lärare och sjukvårdspersonal anställda inom kriminalvården. Sjuk­vårdspersonalen och lärarna är inte anställda inom kriminalvården i Finland. I Island och Norge är bibliotekarier, lärare och sjukvårdspersonal inte anställda inom krimi­­nal­­vården. I Island är kökspersonal inte anställd av kriminalvården med undantag för ett fängelse.</t>
  </si>
  <si>
    <t xml:space="preserve">6.1 Danmark </t>
  </si>
  <si>
    <t>där när de verkställer ett frihetsstraff. Under 2021 fanns det i genomsnitt 203 platser på pensionerna, och i genomsnitt fanns 189 klienter där.</t>
  </si>
  <si>
    <t xml:space="preserve">[2] Ungdomsövervakning är en ny påföljd i Sverige från och med år 2021. De som kan dömas till ungdomsövervakning är unga, i huvudsak personer mellan 15 och 17 år, som har begått ett </t>
  </si>
  <si>
    <t xml:space="preserve">allvarligt brott eller som har upprepad brottslighet. Det är domstolen som bestämmer längden på ungdomsövervakningen, vilken är som lägst sex månader och högst ett år. </t>
  </si>
  <si>
    <r>
      <t>övriga</t>
    </r>
    <r>
      <rPr>
        <vertAlign val="superscript"/>
        <sz val="10"/>
        <color theme="1"/>
        <rFont val="Calibri"/>
        <family val="2"/>
        <scheme val="minor"/>
      </rPr>
      <t>2)</t>
    </r>
  </si>
  <si>
    <t>[1] Från och med 2017 sker mätning varje dag. Till och med 2016 mätning 1 gång per månad. Siffrorna för 2017 - 2020 är korrigerade.</t>
  </si>
  <si>
    <t>[2] Utsluss med elektronisk kontroll ingår i tabell 3.5.</t>
  </si>
  <si>
    <t>dömda till fängelse [2]</t>
  </si>
  <si>
    <t>övriga inskrivna [3]</t>
  </si>
  <si>
    <t>I platser ingår även platser som används för dubbelbeläggning och tillfälligt använda platser.</t>
  </si>
  <si>
    <t>Finns endast i Sverige.  En skyddstillsyn innebär att klienten får en prövotid på tre år och står under övervakning den tiden. Efter ett år sker en prövning där frivården beslutar om övervakningen ska upphöra eller inte. Lagstiftningen kring skyddstillsyn förändrades i maj 2021 och enligt tidigare lagstiftning upphörde övervakningen automatiskt efter normalt ett år. Villkor om missbruksvård m.m. kan förekomma.</t>
  </si>
  <si>
    <t xml:space="preserve">[5] Fr.o.m. år 2015 redovisas transportverksamheten, Nationella transportenheten (NTE) separat. Ökningen för NTE beror främst på nytt uppdrag för transportorganisationen, som bland annat innebär </t>
  </si>
  <si>
    <r>
      <t xml:space="preserve">Nationella transportenheten </t>
    </r>
    <r>
      <rPr>
        <sz val="10"/>
        <color theme="1"/>
        <rFont val="Calibri"/>
        <family val="2"/>
        <scheme val="minor"/>
      </rPr>
      <t>[5]</t>
    </r>
  </si>
  <si>
    <r>
      <t xml:space="preserve">Frivården </t>
    </r>
    <r>
      <rPr>
        <sz val="10"/>
        <color theme="1"/>
        <rFont val="Calibri"/>
        <family val="2"/>
        <scheme val="minor"/>
      </rPr>
      <t>[4]</t>
    </r>
  </si>
  <si>
    <t>Avser i Danmark Direktoratet for Kriminalforsorgen samt från 2015 också fyra nyetablerade områdeskontor, i Finland Brottspåföljdsmyndighetens centralförvaltningsenhet och tre regioncentrum, i Norge Kriminal-omsorgsdirektoratet och de regionala kontoren, i Sverige Kriminalvårdens huvudkontor och de regionala kontoren (Kriminalvårdens servicecenter blev från och med oktober 2019 en del av huvudkontoret efter att från och med 2015 varit en självständig enhet inom den centrala organisationen) och i Island den islandska kriminalvårdstyrelsen ("Fangelsismálastofnun ríkisins").</t>
  </si>
  <si>
    <t>[4] Ökningen 2021 är direkt relaterad till lagstiftningsförändringar som har ökat klientvolymerna inom frivården.</t>
  </si>
  <si>
    <t>[2] Ny central organisation fr.o.m. 2015. I denna siffra ingår huvudkontoret samt regionkontoren. Kriminalvårdens servicecenter blev från och med oktober 2019 en del av huvudkontoret efter att tidigare varit en självständig</t>
  </si>
  <si>
    <t>enhet inom den centrala organisationen. Fr.o.m. 2016 genomslag för den nya organisationen där det skett en medveten centralisering. Ökning har främst skett inom rekrytering, personalutbildning, IT och säkerhet.</t>
  </si>
  <si>
    <t>Siffran inkluderar personalutbildare, det vill säga lärare för personal under utbildning (ca 100).</t>
  </si>
  <si>
    <t xml:space="preserve">[3] Siffran inkluderar kriminalvårdare under utbildning (ca 290), lärare för intagna (ca 140), sjukvårdspersonal (ca 140). Lärare för personal under utbildning ingår fr.o.m. 2015 i </t>
  </si>
  <si>
    <t>redovisas istället den totala personalresursen. Ökningen från och med år 2020 för anstalter och häkten beror på fler klienter vilket lett till kapacitetsökningen med nya platser och dubbelbeläggning samt den höga beläggningen.</t>
  </si>
  <si>
    <t>[1] Ovillkorligt fängelsestraff och fängelsestraff istället för obetalda böter som omvandlats till samhällstjänst (därav böter omvandlade till samhällstjänst 127 (2014), 139 (2015), 143 (2016), 101 (2017), 148 (2018), 156 (2019), 101 (2020), 144 (2021).</t>
  </si>
  <si>
    <t>Folkmängden avser antal invånare i början av respektive år:</t>
  </si>
  <si>
    <t xml:space="preserve">[3] En sluten anstalt stängdes 2020 </t>
  </si>
  <si>
    <t xml:space="preserve">[2] I Island finns inte särskilda häkten men i Fängelset Holmsheidi är en avdelning för häktade (4 celler nu primärt till häktade). Häktesklienter som inte är isolerade </t>
  </si>
  <si>
    <t>Häktesenheter [1]</t>
  </si>
  <si>
    <t>[1] I Island finns inte särskilda häkten men i Fängelset Holmsheidi (slutna anstaltsenhet) är en avdelning för häktade (4 celler primärt till häktade)</t>
  </si>
  <si>
    <t>kan vistas tillsammans med andra intagna på sluten eller öppen anstalt.</t>
  </si>
  <si>
    <t>största enhet  [2]</t>
  </si>
  <si>
    <t>antal enheter  [1]</t>
  </si>
  <si>
    <t>[2]  Köpenhams fängelse inkluderar tre häkten.</t>
  </si>
  <si>
    <t>[1]  Inkluderar häktesavdelningar på fängelse.</t>
  </si>
  <si>
    <r>
      <rPr>
        <sz val="10"/>
        <color theme="1"/>
        <rFont val="Calibri"/>
        <family val="2"/>
        <scheme val="minor"/>
      </rPr>
      <t xml:space="preserve">[1] </t>
    </r>
    <r>
      <rPr>
        <i/>
        <sz val="10"/>
        <color theme="1"/>
        <rFont val="Calibri"/>
        <family val="2"/>
        <scheme val="minor"/>
      </rPr>
      <t xml:space="preserve">Siffran inkluderar inte lärare för intagna (ca 280), lärare på kriminalvårdens utbildningscenter (ca 61), personer som utbildas till vårdare och vårdare i praktik (år 2020 ca 285) samt </t>
    </r>
  </si>
  <si>
    <r>
      <t xml:space="preserve">Anstalter och häkten </t>
    </r>
    <r>
      <rPr>
        <sz val="10"/>
        <color theme="1"/>
        <rFont val="Calibri"/>
        <family val="2"/>
        <scheme val="minor"/>
      </rPr>
      <t>[1]</t>
    </r>
  </si>
  <si>
    <t>Norge införde elektronisk övervakning fr.o.m. 2008 och gällde i hela landet 2014. Från och med april 2020 är målgruppen de som är dömda till ett fängelsestraff på till och med sex månader (tidigare fyra månader) eller som har sex månader (tidigare fyra månader) kvar att avtjäna.</t>
  </si>
  <si>
    <t>1 oktober 2011 introducerade Island elektronisk kontroll vid utslussning. När det utdömda fängelsestraffet är 12 månader eller mer kan en klient avsluta straffet utanför anstalt genom elektronisk kontroll. Vid 12 månaders fängelse kan elektronisk kontroll vara i 60 dagar (tidigare 30 dagar från 1 oktober 2011 till 30 mars 2016). Sedan kan det förlängas med 5 (tidigare 2,5) dagar för varje utdömd månad. Maximalt kan det vara i 360 (tidigare 240) dagar. Tillsynen sköts av fängelsepersonal men klienterna ingår inte i beläggningen för fängelsedömda utan de inkluderas under kriminalvården i frihet då de inte befinner sig innanför murarna.</t>
  </si>
  <si>
    <t xml:space="preserve">I Finland finns elektronisk kontroll sedan 1 oktober 2006 som utslussning (”övervakad frihet på prov”). Tillsynen sköts av fängelsepersonal men klienterna ingår inte i beläggningen för fängelsedömda, utan de inkluderas under kriminalvården i frihet därför att de inte befinner sig innanför murarna. Från 2011 har domstolen i Finland haft möjlighet att döma till fotboja för verkställighet av straff för personer med en dom på upp till 6 månader (om det t.ex. är problem av social karaktär som medför att samhällstjänst inte kan användas). Från början av 2018 kan ett kombinationsstraff dömas ut till dem som återfaller till allvarliga brott och som anses vara synnerligen farliga för annans liv, hälsa eller frihet. Kombinationsstraff består av en fängelsetid och av en övervakningstid på ett år. Övervakning genomförs med hjälp av tekniska anordningar. </t>
  </si>
  <si>
    <t>[3] Tillsyn under behandlingsbestämt avtjänande av straff, sexualbrottsdömda i behandling och vid åtalsunderlåtelse.</t>
  </si>
  <si>
    <t>därav [2]</t>
  </si>
  <si>
    <t xml:space="preserve">som hanterade udlændingesagskæden) 159 (2021), 144 (2020)  132 (2019), 123 (2018) 127 (2017), 145 (2016), 136 (2015) och 175 (2014). </t>
  </si>
  <si>
    <t xml:space="preserve">[1] Här tillkommer 110 (2021), 116 (2020), 120 (2019), 124 (2018), 133 (2017), 141 (2016), 147 (2015) och 140 (2014)  som är anställda i halfway-houses (pensioner). </t>
  </si>
  <si>
    <t>2018 är det upprättat en Ungekriminalforsorg (övervakning för unga), som har anställt 42 årsarbetskrafter 2021.</t>
  </si>
  <si>
    <t xml:space="preserve">[2] Siffrorna inkluderar inte lärare och administrativ personal på kriminalvårdens utbildningscenter (Kriminalforsorgens uddannelsescenter, UCB), udrejsecentre samt personal </t>
  </si>
  <si>
    <t xml:space="preserve">[2] År 2020 ändrade Danmark enheten från antal personer till antal ärenden inom varje frivårdskategori. Ändringarna är gjord retroaktivt. Eftersom en person kan vara aktuell inom flera frivårdskategorier är summan av </t>
  </si>
  <si>
    <t>kategorierna större än summan av medelantal inskrivna frivårdsklienter.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</si>
</sst>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7" x14ac:knownFonts="1">
    <font>
      <sz val="11"/>
      <color theme="1"/>
      <name val="Arial"/>
      <family val="2"/>
    </font>
    <font>
      <sz val="11"/>
      <color theme="1"/>
      <name val="Calibri"/>
      <family val="2"/>
      <scheme val="minor"/>
    </font>
    <font>
      <sz val="11"/>
      <color rgb="FF9C6500"/>
      <name val="Arial"/>
      <family val="2"/>
    </font>
    <font>
      <sz val="10"/>
      <color theme="1"/>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sz val="10"/>
      <name val="Calibri"/>
      <family val="2"/>
      <scheme val="minor"/>
    </font>
    <font>
      <i/>
      <sz val="10"/>
      <name val="Calibri"/>
      <family val="2"/>
      <scheme val="minor"/>
    </font>
    <font>
      <sz val="8"/>
      <name val="Arial"/>
      <family val="2"/>
    </font>
    <font>
      <sz val="10"/>
      <color indexed="10"/>
      <name val="Calibri"/>
      <family val="2"/>
      <scheme val="minor"/>
    </font>
    <font>
      <b/>
      <sz val="10"/>
      <color theme="1"/>
      <name val="Calibri"/>
      <family val="2"/>
      <scheme val="minor"/>
    </font>
    <font>
      <b/>
      <i/>
      <sz val="10"/>
      <color theme="1"/>
      <name val="Calibri"/>
      <family val="2"/>
      <scheme val="minor"/>
    </font>
    <font>
      <b/>
      <i/>
      <sz val="10"/>
      <name val="Calibri"/>
      <family val="2"/>
      <scheme val="minor"/>
    </font>
    <font>
      <sz val="10"/>
      <color rgb="FF000000"/>
      <name val="Calibri"/>
      <family val="2"/>
      <scheme val="minor"/>
    </font>
    <font>
      <b/>
      <sz val="12"/>
      <color rgb="FF003D58"/>
      <name val="Arial"/>
      <family val="2"/>
    </font>
    <font>
      <sz val="12"/>
      <color theme="1"/>
      <name val="Garamond"/>
      <family val="1"/>
    </font>
    <font>
      <strike/>
      <sz val="12"/>
      <color theme="1"/>
      <name val="Garamond"/>
      <family val="1"/>
    </font>
    <font>
      <b/>
      <sz val="12"/>
      <color theme="1"/>
      <name val="Garamond"/>
      <family val="1"/>
    </font>
    <font>
      <u/>
      <sz val="12"/>
      <color theme="1"/>
      <name val="Garamond"/>
      <family val="1"/>
    </font>
    <font>
      <b/>
      <sz val="14"/>
      <color rgb="FF003D58"/>
      <name val="Arial"/>
      <family val="2"/>
    </font>
    <font>
      <u/>
      <sz val="11"/>
      <color theme="10"/>
      <name val="Arial"/>
      <family val="2"/>
    </font>
    <font>
      <sz val="11"/>
      <color theme="10"/>
      <name val="Calibri"/>
      <family val="2"/>
      <scheme val="minor"/>
    </font>
    <font>
      <vertAlign val="superscript"/>
      <sz val="10"/>
      <color theme="1"/>
      <name val="Calibri"/>
      <family val="2"/>
      <scheme val="minor"/>
    </font>
    <font>
      <vertAlign val="superscript"/>
      <sz val="13"/>
      <color theme="1"/>
      <name val="Calibri"/>
      <family val="2"/>
      <scheme val="minor"/>
    </font>
    <font>
      <b/>
      <vertAlign val="superscript"/>
      <sz val="13"/>
      <color theme="1"/>
      <name val="Calibri"/>
      <family val="2"/>
      <scheme val="minor"/>
    </font>
    <font>
      <sz val="10"/>
      <name val="Arial"/>
      <family val="2"/>
    </font>
    <font>
      <sz val="10"/>
      <color rgb="FFFF0000"/>
      <name val="Calibri"/>
      <family val="2"/>
      <scheme val="minor"/>
    </font>
    <font>
      <sz val="10"/>
      <name val="Calibri Light"/>
      <family val="2"/>
      <scheme val="major"/>
    </font>
    <font>
      <i/>
      <sz val="10"/>
      <name val="Calibri Light"/>
      <family val="2"/>
      <scheme val="major"/>
    </font>
    <font>
      <sz val="11"/>
      <name val="Calibri"/>
      <family val="2"/>
      <scheme val="minor"/>
    </font>
    <font>
      <sz val="11"/>
      <color rgb="FFFF0000"/>
      <name val="Calibri"/>
      <family val="2"/>
      <scheme val="minor"/>
    </font>
    <font>
      <sz val="9"/>
      <color theme="1"/>
      <name val="Calibri Light"/>
      <family val="2"/>
    </font>
    <font>
      <sz val="7"/>
      <color theme="1"/>
      <name val="Calibri Light"/>
      <family val="2"/>
    </font>
    <font>
      <sz val="12"/>
      <name val="Garamond"/>
      <family val="1"/>
    </font>
    <font>
      <b/>
      <sz val="10"/>
      <name val="Arial"/>
      <family val="2"/>
    </font>
    <font>
      <sz val="11"/>
      <color theme="1"/>
      <name val="Arial"/>
      <family val="2"/>
    </font>
  </fonts>
  <fills count="7">
    <fill>
      <patternFill patternType="none"/>
    </fill>
    <fill>
      <patternFill patternType="gray125"/>
    </fill>
    <fill>
      <patternFill patternType="solid">
        <fgColor rgb="FFFFEB9C"/>
        <bgColor indexed="64"/>
      </patternFill>
    </fill>
    <fill>
      <patternFill patternType="solid">
        <fgColor rgb="FFFFFFCC"/>
        <bgColor indexed="64"/>
      </patternFill>
    </fill>
    <fill>
      <patternFill patternType="solid">
        <fgColor rgb="FFD9E2E6"/>
        <bgColor indexed="64"/>
      </patternFill>
    </fill>
    <fill>
      <patternFill patternType="solid">
        <fgColor theme="0"/>
        <bgColor indexed="64"/>
      </patternFill>
    </fill>
    <fill>
      <patternFill patternType="solid">
        <fgColor rgb="FFF2F2F2"/>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thin">
        <color rgb="FFB2B2B2"/>
      </right>
      <top/>
      <bottom/>
      <diagonal/>
    </border>
    <border>
      <left style="medium">
        <color auto="1"/>
      </left>
      <right style="medium">
        <color auto="1"/>
      </right>
      <top style="medium">
        <color auto="1"/>
      </top>
      <bottom/>
      <diagonal/>
    </border>
  </borders>
  <cellStyleXfs count="7">
    <xf numFmtId="0" fontId="0" fillId="0" borderId="0"/>
    <xf numFmtId="9" fontId="36" fillId="0" borderId="0" applyFont="0" applyFill="0" applyBorder="0" applyAlignment="0" applyProtection="0"/>
    <xf numFmtId="0" fontId="2" fillId="2" borderId="0" applyNumberFormat="0" applyBorder="0" applyAlignment="0" applyProtection="0"/>
    <xf numFmtId="0" fontId="21" fillId="0" borderId="0" applyNumberFormat="0" applyFill="0" applyBorder="0" applyAlignment="0" applyProtection="0"/>
    <xf numFmtId="0" fontId="26" fillId="0" borderId="0"/>
    <xf numFmtId="0" fontId="36" fillId="3" borderId="1" applyNumberFormat="0" applyFont="0" applyAlignment="0" applyProtection="0"/>
    <xf numFmtId="0" fontId="26" fillId="0" borderId="0"/>
  </cellStyleXfs>
  <cellXfs count="191">
    <xf numFmtId="0" fontId="0" fillId="0" borderId="0" xfId="0"/>
    <xf numFmtId="0" fontId="1" fillId="0" borderId="0" xfId="0" applyFont="1"/>
    <xf numFmtId="0" fontId="3" fillId="0" borderId="0" xfId="0" applyFont="1"/>
    <xf numFmtId="0" fontId="1" fillId="0" borderId="0" xfId="0" applyFont="1" applyAlignment="1">
      <alignment horizontal="right"/>
    </xf>
    <xf numFmtId="0" fontId="5" fillId="0" borderId="0" xfId="0" applyFont="1"/>
    <xf numFmtId="0" fontId="3" fillId="0" borderId="0" xfId="0" applyFont="1" applyBorder="1" applyAlignment="1">
      <alignment horizontal="left" vertical="center" wrapText="1" indent="1"/>
    </xf>
    <xf numFmtId="0" fontId="1" fillId="0" borderId="0" xfId="0" applyFont="1" applyBorder="1"/>
    <xf numFmtId="0" fontId="3" fillId="0" borderId="0" xfId="0" applyFont="1" applyBorder="1" applyAlignment="1">
      <alignment horizontal="left" vertical="center" wrapText="1"/>
    </xf>
    <xf numFmtId="0" fontId="3" fillId="0" borderId="0" xfId="0" applyFont="1" applyAlignment="1">
      <alignment horizontal="left" wrapText="1" indent="1"/>
    </xf>
    <xf numFmtId="0" fontId="6" fillId="0" borderId="0" xfId="0" applyFont="1" applyBorder="1" applyAlignment="1">
      <alignment horizontal="left" vertical="center" wrapText="1"/>
    </xf>
    <xf numFmtId="0" fontId="6" fillId="0" borderId="0" xfId="0" applyFont="1" applyBorder="1" applyAlignment="1">
      <alignment horizontal="left" vertical="center" wrapText="1" indent="1"/>
    </xf>
    <xf numFmtId="1" fontId="8" fillId="0" borderId="0" xfId="0" applyNumberFormat="1" applyFont="1" applyProtection="1"/>
    <xf numFmtId="3" fontId="3" fillId="0" borderId="0" xfId="0" applyNumberFormat="1" applyFont="1" applyProtection="1">
      <protection locked="0"/>
    </xf>
    <xf numFmtId="3" fontId="3" fillId="0" borderId="0" xfId="0" applyNumberFormat="1" applyFont="1"/>
    <xf numFmtId="0" fontId="3" fillId="0" borderId="0" xfId="0" applyFont="1" applyAlignment="1">
      <alignment horizontal="left" indent="1"/>
    </xf>
    <xf numFmtId="0" fontId="6" fillId="0" borderId="0" xfId="0" applyFont="1" applyAlignment="1">
      <alignment horizontal="left" indent="1"/>
    </xf>
    <xf numFmtId="0" fontId="6" fillId="0" borderId="0" xfId="0" applyFont="1" applyAlignment="1">
      <alignment horizontal="left" indent="2"/>
    </xf>
    <xf numFmtId="0" fontId="6" fillId="0" borderId="0" xfId="0" applyFont="1"/>
    <xf numFmtId="0" fontId="5" fillId="4" borderId="2" xfId="0" applyFont="1" applyFill="1" applyBorder="1"/>
    <xf numFmtId="0" fontId="4" fillId="4" borderId="2" xfId="0" applyFont="1" applyFill="1" applyBorder="1"/>
    <xf numFmtId="0" fontId="5" fillId="4" borderId="0" xfId="0" applyFont="1" applyFill="1" applyBorder="1"/>
    <xf numFmtId="0" fontId="3" fillId="0" borderId="0" xfId="0" applyFont="1" applyFill="1"/>
    <xf numFmtId="0" fontId="1" fillId="0" borderId="0" xfId="0" applyFont="1" applyFill="1"/>
    <xf numFmtId="0" fontId="3" fillId="0" borderId="0" xfId="0" applyFont="1" applyFill="1" applyAlignment="1">
      <alignment horizontal="left" indent="1"/>
    </xf>
    <xf numFmtId="0" fontId="6" fillId="0" borderId="0" xfId="0" applyFont="1" applyFill="1" applyAlignment="1">
      <alignment horizontal="left" indent="2"/>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indent="1"/>
    </xf>
    <xf numFmtId="3" fontId="3" fillId="0" borderId="0" xfId="0" applyNumberFormat="1" applyFont="1" applyFill="1" applyProtection="1">
      <protection locked="0"/>
    </xf>
    <xf numFmtId="3" fontId="3" fillId="0" borderId="0" xfId="0" applyNumberFormat="1" applyFont="1" applyFill="1"/>
    <xf numFmtId="0" fontId="3" fillId="0" borderId="0" xfId="0" applyFont="1" applyFill="1" applyAlignment="1">
      <alignment horizontal="left" wrapText="1" indent="1"/>
    </xf>
    <xf numFmtId="3" fontId="7" fillId="0" borderId="0" xfId="1" applyNumberFormat="1" applyFont="1" applyFill="1"/>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wrapText="1" indent="1"/>
    </xf>
    <xf numFmtId="1" fontId="8" fillId="0" borderId="0" xfId="0" applyNumberFormat="1" applyFont="1" applyFill="1" applyProtection="1"/>
    <xf numFmtId="0" fontId="6" fillId="0" borderId="0" xfId="0" applyFont="1" applyFill="1"/>
    <xf numFmtId="0" fontId="6" fillId="0" borderId="0" xfId="0" applyFont="1" applyFill="1" applyAlignment="1">
      <alignment horizontal="left" indent="1"/>
    </xf>
    <xf numFmtId="1" fontId="8" fillId="0" borderId="0" xfId="0" applyNumberFormat="1" applyFont="1"/>
    <xf numFmtId="3" fontId="3" fillId="0" borderId="0" xfId="0" applyNumberFormat="1" applyFont="1" applyAlignment="1">
      <alignment horizontal="right"/>
    </xf>
    <xf numFmtId="0" fontId="3" fillId="0" borderId="0" xfId="0" applyFont="1" applyAlignment="1">
      <alignment horizontal="right"/>
    </xf>
    <xf numFmtId="3" fontId="7" fillId="0" borderId="0" xfId="0" applyNumberFormat="1" applyFont="1"/>
    <xf numFmtId="0" fontId="10" fillId="0" borderId="0" xfId="0" applyFont="1"/>
    <xf numFmtId="0" fontId="11" fillId="0" borderId="0" xfId="0" applyFont="1"/>
    <xf numFmtId="0" fontId="7" fillId="0" borderId="0" xfId="0" applyFont="1"/>
    <xf numFmtId="1" fontId="8" fillId="0" borderId="0" xfId="0" applyNumberFormat="1" applyFont="1" applyProtection="1">
      <protection locked="0"/>
    </xf>
    <xf numFmtId="0" fontId="7" fillId="0" borderId="0" xfId="0" applyFont="1" applyAlignment="1">
      <alignment horizontal="right"/>
    </xf>
    <xf numFmtId="164" fontId="8" fillId="0" borderId="0" xfId="0" applyNumberFormat="1" applyFont="1"/>
    <xf numFmtId="0" fontId="9" fillId="0" borderId="0" xfId="0" applyFont="1"/>
    <xf numFmtId="0" fontId="3" fillId="0" borderId="0" xfId="0" applyFont="1" applyAlignment="1">
      <alignment horizontal="left" indent="2"/>
    </xf>
    <xf numFmtId="0" fontId="7" fillId="0" borderId="0" xfId="0" applyFont="1" applyProtection="1">
      <protection locked="0"/>
    </xf>
    <xf numFmtId="0" fontId="7" fillId="0" borderId="0" xfId="0" applyFont="1" applyFill="1" applyProtection="1">
      <protection locked="0"/>
    </xf>
    <xf numFmtId="0" fontId="7" fillId="0" borderId="0" xfId="0" applyFont="1" applyFill="1"/>
    <xf numFmtId="0" fontId="3" fillId="0" borderId="0" xfId="0" applyFont="1" applyProtection="1">
      <protection locked="0"/>
    </xf>
    <xf numFmtId="0" fontId="3" fillId="0" borderId="0" xfId="0" applyFont="1" applyFill="1" applyProtection="1">
      <protection locked="0"/>
    </xf>
    <xf numFmtId="0" fontId="4" fillId="4" borderId="0" xfId="0" applyFont="1" applyFill="1" applyBorder="1" applyAlignment="1">
      <alignment horizontal="center"/>
    </xf>
    <xf numFmtId="0" fontId="12" fillId="0" borderId="0" xfId="0" applyFont="1"/>
    <xf numFmtId="1" fontId="7" fillId="0" borderId="0" xfId="0" applyNumberFormat="1" applyFont="1" applyBorder="1" applyAlignment="1">
      <alignment horizontal="right"/>
    </xf>
    <xf numFmtId="3" fontId="7" fillId="0" borderId="0" xfId="0" applyNumberFormat="1" applyFont="1" applyBorder="1" applyAlignment="1">
      <alignment horizontal="right"/>
    </xf>
    <xf numFmtId="1"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0" xfId="2" applyNumberFormat="1" applyFont="1" applyFill="1"/>
    <xf numFmtId="3" fontId="7" fillId="0" borderId="0" xfId="0" applyNumberFormat="1" applyFont="1" applyFill="1"/>
    <xf numFmtId="9" fontId="7" fillId="0" borderId="0" xfId="1" applyFont="1" applyFill="1"/>
    <xf numFmtId="164" fontId="3" fillId="0" borderId="0" xfId="0" applyNumberFormat="1" applyFont="1"/>
    <xf numFmtId="0" fontId="8" fillId="0" borderId="0" xfId="0" applyFont="1"/>
    <xf numFmtId="0" fontId="13" fillId="0" borderId="0" xfId="0" applyFont="1"/>
    <xf numFmtId="3" fontId="3" fillId="0" borderId="0" xfId="0" applyNumberFormat="1" applyFont="1" applyAlignment="1" applyProtection="1">
      <alignment horizontal="right"/>
      <protection locked="0"/>
    </xf>
    <xf numFmtId="3" fontId="14" fillId="0" borderId="0" xfId="0" applyNumberFormat="1" applyFont="1"/>
    <xf numFmtId="0" fontId="5" fillId="5" borderId="0" xfId="0" applyFont="1" applyFill="1"/>
    <xf numFmtId="0" fontId="0" fillId="5" borderId="0" xfId="0" applyFill="1"/>
    <xf numFmtId="0" fontId="1" fillId="5" borderId="0" xfId="0" applyFont="1" applyFill="1"/>
    <xf numFmtId="0" fontId="15"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8" fillId="0" borderId="3" xfId="0" applyFont="1" applyBorder="1" applyAlignment="1">
      <alignment vertical="center" wrapText="1"/>
    </xf>
    <xf numFmtId="0" fontId="18" fillId="6"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16" fillId="0" borderId="5" xfId="0" applyFont="1" applyBorder="1" applyAlignment="1">
      <alignment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Alignment="1">
      <alignment vertical="center" wrapText="1"/>
    </xf>
    <xf numFmtId="0" fontId="16" fillId="0" borderId="7" xfId="0" applyFont="1" applyBorder="1" applyAlignment="1">
      <alignment vertical="center" wrapText="1"/>
    </xf>
    <xf numFmtId="0" fontId="19" fillId="0" borderId="0" xfId="0" applyFont="1" applyAlignment="1">
      <alignment vertical="center"/>
    </xf>
    <xf numFmtId="0" fontId="15" fillId="0" borderId="0" xfId="0" applyFont="1" applyAlignment="1">
      <alignment vertical="center" wrapText="1"/>
    </xf>
    <xf numFmtId="0" fontId="20" fillId="0" borderId="0" xfId="0" applyFont="1" applyAlignment="1">
      <alignment horizontal="left" vertical="center"/>
    </xf>
    <xf numFmtId="0" fontId="16" fillId="0" borderId="0" xfId="0" applyFont="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Alignment="1">
      <alignment horizontal="left" vertical="center"/>
    </xf>
    <xf numFmtId="0" fontId="22" fillId="5" borderId="0" xfId="3" applyFont="1" applyFill="1" applyAlignment="1">
      <alignment horizontal="left"/>
    </xf>
    <xf numFmtId="0" fontId="22" fillId="5" borderId="0" xfId="3" applyFont="1" applyFill="1"/>
    <xf numFmtId="0" fontId="6" fillId="0" borderId="0" xfId="0" applyFont="1" applyBorder="1" applyAlignment="1">
      <alignment horizontal="left" vertical="center"/>
    </xf>
    <xf numFmtId="0" fontId="6" fillId="0" borderId="0" xfId="0" applyFont="1" applyBorder="1" applyAlignment="1">
      <alignment horizontal="left" vertical="center" indent="2"/>
    </xf>
    <xf numFmtId="0" fontId="6" fillId="0" borderId="0" xfId="0" applyFont="1" applyAlignment="1">
      <alignment horizontal="left"/>
    </xf>
    <xf numFmtId="0" fontId="6" fillId="0" borderId="0" xfId="0" applyFont="1" applyAlignment="1"/>
    <xf numFmtId="0" fontId="6" fillId="0" borderId="0" xfId="0" applyFont="1" applyBorder="1"/>
    <xf numFmtId="3" fontId="7" fillId="0" borderId="0" xfId="0" applyNumberFormat="1" applyFont="1" applyBorder="1"/>
    <xf numFmtId="3" fontId="7" fillId="0" borderId="0" xfId="0" applyNumberFormat="1" applyFont="1" applyFill="1" applyBorder="1"/>
    <xf numFmtId="3" fontId="27" fillId="0" borderId="0" xfId="0" applyNumberFormat="1" applyFont="1"/>
    <xf numFmtId="3" fontId="8" fillId="0" borderId="0" xfId="0" applyNumberFormat="1" applyFont="1" applyProtection="1"/>
    <xf numFmtId="3" fontId="8" fillId="0" borderId="0" xfId="0" applyNumberFormat="1" applyFont="1"/>
    <xf numFmtId="1" fontId="1" fillId="0" borderId="0" xfId="0" applyNumberFormat="1" applyFont="1"/>
    <xf numFmtId="1" fontId="3" fillId="0" borderId="0" xfId="0" applyNumberFormat="1" applyFont="1"/>
    <xf numFmtId="1" fontId="7" fillId="0" borderId="0" xfId="0" applyNumberFormat="1" applyFont="1"/>
    <xf numFmtId="0" fontId="27" fillId="0" borderId="0" xfId="0" applyFont="1"/>
    <xf numFmtId="3" fontId="7" fillId="0" borderId="0" xfId="0" applyNumberFormat="1" applyFont="1" applyProtection="1">
      <protection locked="0"/>
    </xf>
    <xf numFmtId="1" fontId="7" fillId="0" borderId="0" xfId="0" applyNumberFormat="1" applyFont="1" applyProtection="1">
      <protection locked="0"/>
    </xf>
    <xf numFmtId="1" fontId="3" fillId="0" borderId="0" xfId="0" applyNumberFormat="1" applyFont="1" applyProtection="1">
      <protection locked="0"/>
    </xf>
    <xf numFmtId="164" fontId="3" fillId="0" borderId="0" xfId="0" applyNumberFormat="1" applyFont="1" applyFill="1"/>
    <xf numFmtId="1" fontId="8" fillId="0" borderId="0" xfId="0" applyNumberFormat="1" applyFont="1" applyAlignment="1">
      <alignment horizontal="right"/>
    </xf>
    <xf numFmtId="1" fontId="29" fillId="0" borderId="0" xfId="4" applyNumberFormat="1" applyFont="1"/>
    <xf numFmtId="1" fontId="28" fillId="0" borderId="0" xfId="4" applyNumberFormat="1" applyFont="1"/>
    <xf numFmtId="165" fontId="1" fillId="0" borderId="0" xfId="0" applyNumberFormat="1" applyFont="1"/>
    <xf numFmtId="9" fontId="3" fillId="0" borderId="0" xfId="1" applyFont="1"/>
    <xf numFmtId="1" fontId="6" fillId="0" borderId="0" xfId="0" applyNumberFormat="1" applyFont="1"/>
    <xf numFmtId="0" fontId="7" fillId="0" borderId="0" xfId="4" applyFont="1"/>
    <xf numFmtId="1" fontId="8" fillId="0" borderId="0" xfId="4" applyNumberFormat="1" applyFont="1"/>
    <xf numFmtId="3" fontId="7" fillId="0" borderId="0" xfId="4" applyNumberFormat="1" applyFont="1"/>
    <xf numFmtId="3" fontId="3" fillId="0" borderId="0" xfId="5" applyNumberFormat="1" applyFont="1" applyFill="1" applyBorder="1"/>
    <xf numFmtId="0" fontId="3" fillId="0" borderId="0" xfId="5" applyFont="1" applyFill="1" applyBorder="1"/>
    <xf numFmtId="0" fontId="3" fillId="0" borderId="8" xfId="5" applyFont="1" applyFill="1" applyBorder="1"/>
    <xf numFmtId="1" fontId="7" fillId="0" borderId="0" xfId="0" applyNumberFormat="1" applyFont="1" applyFill="1" applyProtection="1">
      <protection locked="0"/>
    </xf>
    <xf numFmtId="1" fontId="3" fillId="0" borderId="0" xfId="0" applyNumberFormat="1" applyFont="1" applyFill="1" applyProtection="1">
      <protection locked="0"/>
    </xf>
    <xf numFmtId="1" fontId="7" fillId="0" borderId="0" xfId="0" applyNumberFormat="1" applyFont="1" applyFill="1" applyAlignment="1" applyProtection="1">
      <alignment horizontal="right"/>
      <protection locked="0"/>
    </xf>
    <xf numFmtId="3" fontId="3" fillId="0" borderId="0" xfId="1" applyNumberFormat="1" applyFont="1"/>
    <xf numFmtId="3" fontId="7" fillId="0" borderId="0" xfId="0" applyNumberFormat="1" applyFont="1" applyAlignment="1"/>
    <xf numFmtId="0" fontId="30" fillId="0" borderId="0" xfId="0" applyFont="1"/>
    <xf numFmtId="0" fontId="6" fillId="0" borderId="0" xfId="0" applyFont="1" applyBorder="1" applyAlignment="1">
      <alignment horizontal="left" vertical="center" indent="1"/>
    </xf>
    <xf numFmtId="1" fontId="3" fillId="0" borderId="0" xfId="0" applyNumberFormat="1" applyFont="1" applyAlignment="1">
      <alignment horizontal="right"/>
    </xf>
    <xf numFmtId="0" fontId="8" fillId="0" borderId="0" xfId="0" applyFont="1" applyAlignment="1"/>
    <xf numFmtId="0" fontId="8" fillId="0" borderId="0" xfId="0" applyFont="1" applyBorder="1" applyAlignment="1">
      <alignment horizontal="left" vertical="center"/>
    </xf>
    <xf numFmtId="0" fontId="8" fillId="0" borderId="0" xfId="0" applyFont="1" applyFill="1" applyBorder="1" applyAlignment="1">
      <alignment horizontal="left" vertical="center"/>
    </xf>
    <xf numFmtId="1" fontId="3" fillId="0" borderId="0" xfId="0" applyNumberFormat="1" applyFont="1" applyBorder="1" applyAlignment="1">
      <alignment horizontal="right"/>
    </xf>
    <xf numFmtId="0" fontId="31" fillId="0" borderId="0" xfId="0" applyFont="1"/>
    <xf numFmtId="1" fontId="7" fillId="0" borderId="0" xfId="0" applyNumberFormat="1" applyFont="1" applyFill="1"/>
    <xf numFmtId="3" fontId="1" fillId="0" borderId="0" xfId="0" applyNumberFormat="1" applyFont="1"/>
    <xf numFmtId="164" fontId="3" fillId="0" borderId="0" xfId="0" applyNumberFormat="1" applyFont="1" applyFill="1" applyAlignment="1">
      <alignment horizontal="right"/>
    </xf>
    <xf numFmtId="9" fontId="3" fillId="0" borderId="0" xfId="0" applyNumberFormat="1" applyFont="1" applyFill="1"/>
    <xf numFmtId="164" fontId="1" fillId="0" borderId="0" xfId="0" applyNumberFormat="1" applyFont="1"/>
    <xf numFmtId="0" fontId="1" fillId="0" borderId="0" xfId="0" applyFont="1"/>
    <xf numFmtId="0" fontId="0" fillId="0" borderId="0" xfId="0" applyAlignment="1"/>
    <xf numFmtId="0" fontId="6" fillId="0" borderId="0" xfId="0" applyFont="1" applyAlignment="1">
      <alignment wrapText="1"/>
    </xf>
    <xf numFmtId="0" fontId="8" fillId="0" borderId="0" xfId="0" applyFont="1" applyAlignment="1">
      <alignment horizontal="left" indent="1"/>
    </xf>
    <xf numFmtId="0" fontId="8" fillId="0" borderId="0" xfId="0" applyFont="1" applyBorder="1" applyAlignment="1">
      <alignment horizontal="left" vertical="center" indent="2"/>
    </xf>
    <xf numFmtId="0" fontId="1" fillId="0" borderId="0" xfId="0" applyFont="1" applyAlignment="1">
      <alignment horizontal="right"/>
    </xf>
    <xf numFmtId="0" fontId="1" fillId="0" borderId="0" xfId="0" applyFont="1"/>
    <xf numFmtId="9" fontId="3" fillId="0" borderId="0" xfId="1" applyNumberFormat="1" applyFont="1"/>
    <xf numFmtId="0" fontId="1" fillId="0" borderId="0" xfId="0" applyFont="1"/>
    <xf numFmtId="0" fontId="1" fillId="0" borderId="0" xfId="0" applyFont="1"/>
    <xf numFmtId="0" fontId="1"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7" fillId="0" borderId="0" xfId="0" applyFont="1" applyAlignment="1">
      <alignment horizontal="left" indent="1"/>
    </xf>
    <xf numFmtId="0" fontId="1" fillId="0" borderId="0" xfId="0" applyFont="1" applyFill="1"/>
    <xf numFmtId="0" fontId="4" fillId="4" borderId="2" xfId="0" applyFont="1" applyFill="1" applyBorder="1" applyAlignment="1">
      <alignment horizontal="right"/>
    </xf>
    <xf numFmtId="0" fontId="3" fillId="0" borderId="0" xfId="0" applyFont="1" applyFill="1" applyAlignment="1">
      <alignment horizontal="right"/>
    </xf>
    <xf numFmtId="0" fontId="1" fillId="0" borderId="0" xfId="0" applyFont="1"/>
    <xf numFmtId="1" fontId="3" fillId="0" borderId="0" xfId="0" applyNumberFormat="1" applyFont="1" applyBorder="1"/>
    <xf numFmtId="164" fontId="1" fillId="0" borderId="0" xfId="0" applyNumberFormat="1" applyFont="1" applyAlignment="1">
      <alignment horizontal="right"/>
    </xf>
    <xf numFmtId="3" fontId="3" fillId="0" borderId="0" xfId="0" applyNumberFormat="1" applyFont="1" applyFill="1" applyAlignment="1">
      <alignment horizontal="right"/>
    </xf>
    <xf numFmtId="1" fontId="8" fillId="0" borderId="0" xfId="0" applyNumberFormat="1" applyFont="1" applyFill="1"/>
    <xf numFmtId="3" fontId="7" fillId="0" borderId="0" xfId="0" applyNumberFormat="1" applyFont="1" applyFill="1" applyProtection="1">
      <protection locked="0"/>
    </xf>
    <xf numFmtId="1" fontId="3" fillId="0" borderId="0" xfId="0" applyNumberFormat="1" applyFont="1" applyFill="1" applyAlignment="1">
      <alignment horizontal="right"/>
    </xf>
    <xf numFmtId="0" fontId="1" fillId="0" borderId="0" xfId="0" applyFont="1"/>
    <xf numFmtId="1" fontId="3" fillId="0" borderId="0" xfId="0" applyNumberFormat="1" applyFont="1" applyFill="1" applyBorder="1"/>
    <xf numFmtId="0" fontId="34" fillId="0" borderId="0" xfId="0" applyFont="1" applyAlignment="1">
      <alignment vertical="center" wrapText="1"/>
    </xf>
    <xf numFmtId="0" fontId="1" fillId="0" borderId="0" xfId="0" applyFont="1"/>
    <xf numFmtId="3" fontId="8" fillId="0" borderId="0" xfId="0" applyNumberFormat="1" applyFont="1" applyBorder="1"/>
    <xf numFmtId="0" fontId="7" fillId="0" borderId="0" xfId="0" applyFont="1" applyBorder="1"/>
    <xf numFmtId="0" fontId="1" fillId="0" borderId="0" xfId="0" applyFont="1"/>
    <xf numFmtId="0" fontId="8" fillId="0" borderId="0" xfId="0" applyFont="1" applyAlignment="1">
      <alignment horizontal="left" indent="2"/>
    </xf>
    <xf numFmtId="0" fontId="8" fillId="0" borderId="0" xfId="0" applyFont="1" applyAlignment="1">
      <alignment horizontal="left"/>
    </xf>
    <xf numFmtId="0" fontId="1" fillId="0" borderId="0" xfId="0" applyFont="1"/>
    <xf numFmtId="0" fontId="1" fillId="0" borderId="0" xfId="0" applyFont="1"/>
    <xf numFmtId="0" fontId="1" fillId="0" borderId="0" xfId="0" applyFont="1"/>
    <xf numFmtId="1" fontId="1" fillId="0" borderId="0" xfId="0" applyNumberFormat="1" applyFont="1"/>
    <xf numFmtId="0" fontId="35" fillId="0" borderId="0" xfId="6" applyFont="1" applyBorder="1"/>
    <xf numFmtId="0" fontId="1" fillId="0" borderId="0" xfId="0" applyFont="1"/>
    <xf numFmtId="0" fontId="1" fillId="0" borderId="0" xfId="0" applyFont="1"/>
    <xf numFmtId="0" fontId="1" fillId="0" borderId="0" xfId="0" applyFont="1"/>
    <xf numFmtId="3" fontId="1" fillId="0" borderId="0" xfId="0" applyNumberFormat="1" applyFont="1" applyFill="1" applyBorder="1"/>
    <xf numFmtId="3" fontId="3" fillId="0" borderId="0" xfId="0" applyNumberFormat="1" applyFont="1" applyFill="1" applyBorder="1"/>
    <xf numFmtId="3" fontId="1" fillId="0" borderId="0" xfId="0" applyNumberFormat="1" applyFont="1" applyFill="1" applyAlignment="1">
      <alignment horizontal="right"/>
    </xf>
    <xf numFmtId="0" fontId="0" fillId="0" borderId="0" xfId="0" applyAlignment="1">
      <alignment horizontal="center"/>
    </xf>
    <xf numFmtId="3" fontId="8" fillId="0" borderId="0" xfId="0" applyNumberFormat="1" applyFont="1" applyFill="1"/>
    <xf numFmtId="3" fontId="8" fillId="0" borderId="0" xfId="0" applyNumberFormat="1" applyFont="1" applyFill="1" applyBorder="1"/>
    <xf numFmtId="0" fontId="22" fillId="5" borderId="0" xfId="3" applyFont="1" applyFill="1" applyAlignment="1"/>
    <xf numFmtId="0" fontId="22" fillId="0" borderId="0" xfId="3" applyFont="1" applyAlignment="1"/>
    <xf numFmtId="0" fontId="4" fillId="4" borderId="2" xfId="0" applyFont="1" applyFill="1" applyBorder="1" applyAlignment="1">
      <alignment horizontal="center"/>
    </xf>
    <xf numFmtId="0" fontId="16" fillId="6" borderId="9"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cellXfs>
  <cellStyles count="7">
    <cellStyle name="Hyperlink" xfId="3" builtinId="8"/>
    <cellStyle name="Neutral" xfId="2" builtinId="28"/>
    <cellStyle name="Normal" xfId="0" builtinId="0"/>
    <cellStyle name="Normal 2" xfId="4" xr:uid="{00000000-0005-0000-0000-000004000000}"/>
    <cellStyle name="Normal 3" xfId="6" xr:uid="{00000000-0005-0000-0000-000005000000}"/>
    <cellStyle name="Note" xfId="5"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6"/>
  <sheetViews>
    <sheetView tabSelected="1" workbookViewId="0">
      <selection activeCell="B1" sqref="B1"/>
    </sheetView>
  </sheetViews>
  <sheetFormatPr defaultColWidth="9" defaultRowHeight="14.25" x14ac:dyDescent="0.2"/>
  <cols>
    <col min="1" max="1" width="9" style="68"/>
    <col min="2" max="2" width="63.625" style="68" bestFit="1" customWidth="1"/>
    <col min="3" max="16384" width="9" style="68"/>
  </cols>
  <sheetData>
    <row r="2" spans="1:5" ht="18.75" x14ac:dyDescent="0.3">
      <c r="A2" s="67" t="s">
        <v>154</v>
      </c>
    </row>
    <row r="3" spans="1:5" ht="15" x14ac:dyDescent="0.25">
      <c r="A3" s="87" t="s">
        <v>142</v>
      </c>
      <c r="B3" s="88" t="s">
        <v>0</v>
      </c>
      <c r="C3" s="69"/>
    </row>
    <row r="4" spans="1:5" ht="15" x14ac:dyDescent="0.25">
      <c r="A4" s="87" t="s">
        <v>143</v>
      </c>
      <c r="B4" s="88" t="s">
        <v>6</v>
      </c>
      <c r="C4" s="69"/>
    </row>
    <row r="5" spans="1:5" ht="15" x14ac:dyDescent="0.25">
      <c r="A5" s="87" t="s">
        <v>144</v>
      </c>
      <c r="B5" s="88" t="s">
        <v>7</v>
      </c>
      <c r="C5" s="69"/>
    </row>
    <row r="6" spans="1:5" ht="15" x14ac:dyDescent="0.25">
      <c r="A6" s="87" t="s">
        <v>145</v>
      </c>
      <c r="B6" s="88" t="s">
        <v>311</v>
      </c>
      <c r="C6" s="69"/>
    </row>
    <row r="7" spans="1:5" ht="15" x14ac:dyDescent="0.25">
      <c r="A7" s="87" t="s">
        <v>146</v>
      </c>
      <c r="B7" s="88" t="s">
        <v>8</v>
      </c>
      <c r="C7" s="69"/>
    </row>
    <row r="8" spans="1:5" ht="15" x14ac:dyDescent="0.25">
      <c r="A8" s="87" t="s">
        <v>147</v>
      </c>
      <c r="B8" s="88" t="s">
        <v>9</v>
      </c>
      <c r="C8" s="69"/>
    </row>
    <row r="9" spans="1:5" ht="15" x14ac:dyDescent="0.25">
      <c r="A9" s="87" t="s">
        <v>148</v>
      </c>
      <c r="B9" s="88" t="s">
        <v>10</v>
      </c>
    </row>
    <row r="10" spans="1:5" ht="15" x14ac:dyDescent="0.25">
      <c r="A10" s="87" t="s">
        <v>149</v>
      </c>
      <c r="B10" s="88" t="s">
        <v>11</v>
      </c>
    </row>
    <row r="11" spans="1:5" ht="15" x14ac:dyDescent="0.25">
      <c r="A11" s="87" t="s">
        <v>150</v>
      </c>
      <c r="B11" s="88" t="s">
        <v>12</v>
      </c>
    </row>
    <row r="12" spans="1:5" ht="15" x14ac:dyDescent="0.25">
      <c r="A12" s="87" t="s">
        <v>151</v>
      </c>
      <c r="B12" s="88" t="s">
        <v>315</v>
      </c>
      <c r="E12" s="69"/>
    </row>
    <row r="13" spans="1:5" ht="15" x14ac:dyDescent="0.25">
      <c r="A13" s="87" t="s">
        <v>152</v>
      </c>
      <c r="B13" s="88" t="s">
        <v>13</v>
      </c>
      <c r="E13" s="69"/>
    </row>
    <row r="14" spans="1:5" ht="15" x14ac:dyDescent="0.25">
      <c r="A14" s="87" t="s">
        <v>153</v>
      </c>
      <c r="B14" s="88" t="s">
        <v>81</v>
      </c>
      <c r="E14" s="69"/>
    </row>
    <row r="15" spans="1:5" ht="15" x14ac:dyDescent="0.25">
      <c r="A15" s="184" t="s">
        <v>155</v>
      </c>
      <c r="B15" s="185"/>
      <c r="E15" s="69"/>
    </row>
    <row r="16" spans="1:5" ht="15" x14ac:dyDescent="0.25">
      <c r="E16" s="69"/>
    </row>
  </sheetData>
  <mergeCells count="1">
    <mergeCell ref="A15:B15"/>
  </mergeCells>
  <hyperlinks>
    <hyperlink ref="A3:B3" display="Tabell 1" xr:uid="{00000000-0004-0000-0000-000000000000}"/>
    <hyperlink ref="A4:B4" display="Tabell 2" xr:uid="{00000000-0004-0000-0000-000001000000}"/>
    <hyperlink ref="A5:B5" display="Tabell 3" xr:uid="{00000000-0004-0000-0000-000002000000}"/>
    <hyperlink ref="A6:B6" display="Tabell 4" xr:uid="{00000000-0004-0000-0000-000003000000}"/>
    <hyperlink ref="A7:B7" display="Tabell 5" xr:uid="{00000000-0004-0000-0000-000004000000}"/>
    <hyperlink ref="A8:B8" display="Tabell 6" xr:uid="{00000000-0004-0000-0000-000005000000}"/>
    <hyperlink ref="A9:B9" display="Tabell 7" xr:uid="{00000000-0004-0000-0000-000006000000}"/>
    <hyperlink ref="A10:B10" display="Tabell 8" xr:uid="{00000000-0004-0000-0000-000007000000}"/>
    <hyperlink ref="A11:B11" display="Tabell 9" xr:uid="{00000000-0004-0000-0000-000008000000}"/>
    <hyperlink ref="A12:B12" display="Tabell 10" xr:uid="{00000000-0004-0000-0000-000009000000}"/>
    <hyperlink ref="A13:B13" display="Tabell 11" xr:uid="{00000000-0004-0000-0000-00000A000000}"/>
    <hyperlink ref="A14:B14" display="Tabell 12" xr:uid="{00000000-0004-0000-0000-00000B000000}"/>
    <hyperlink ref="A15" display="Definitioner" xr:uid="{00000000-0004-0000-0000-00000C000000}"/>
    <hyperlink ref="B3" location="'Tabell 1'!A1" display="Klienttillströmning till kriminalvården" xr:uid="{00000000-0004-0000-0000-00000D000000}"/>
    <hyperlink ref="B4" location="'Tabell 2'!A1" display="Medelantal frihetsberövade per kategori" xr:uid="{00000000-0004-0000-0000-00000E000000}"/>
    <hyperlink ref="B5" location="'Tabell 3'!A1" display="Medelantal frivårdsklienter per kategori" xr:uid="{00000000-0004-0000-0000-00000F000000}"/>
    <hyperlink ref="B6" location="'Tabell 4'!A1" display="Dömda till fängelse en bestämd dag" xr:uid="{00000000-0004-0000-0000-000010000000}"/>
    <hyperlink ref="B7" location="'Tabell 5'!A1" display="Rymningar direkt från anstalts- eller häktesområde" xr:uid="{00000000-0004-0000-0000-000011000000}"/>
    <hyperlink ref="B8" location="'Tabell 6'!A1" display="Dödsfall i anstalter och häkten" xr:uid="{00000000-0004-0000-0000-000012000000}"/>
    <hyperlink ref="B9" location="'Tabell 7'!A1" display="Anstalts- och häktesenheter, antal och tillgängliga platser vid årets slut" xr:uid="{00000000-0004-0000-0000-000013000000}"/>
    <hyperlink ref="B10" location="'Tabell 8'!A1" display="Tillgängliga platser, beläggning och beläggningsprocent i medeltal" xr:uid="{00000000-0004-0000-0000-000014000000}"/>
    <hyperlink ref="B11" location="'Tabell 9'!A1" display="Personal i kriminalvården i absoluta tal och i relation till antalet klienter" xr:uid="{00000000-0004-0000-0000-000015000000}"/>
    <hyperlink ref="B12" location="'Tabell 10'!A1" display="Dömda till fängelse uppdelat på kön och huvudbrott - en bestämd dag i procent" xr:uid="{00000000-0004-0000-0000-000016000000}"/>
    <hyperlink ref="B13" location="'Tabell 11'!A1" display="Återfall i brott inom två år efter avgång från anstalt" xr:uid="{00000000-0004-0000-0000-000017000000}"/>
    <hyperlink ref="B14" location="'Tabell 12'!A1" display="Genomsnittligt antal utdömda månader för fängelsestraff" xr:uid="{00000000-0004-0000-0000-000018000000}"/>
    <hyperlink ref="A3" location="'Tabell 1'!A1" display="Tabell 1" xr:uid="{00000000-0004-0000-0000-000019000000}"/>
    <hyperlink ref="A4" location="'Tabell 2'!A1" display="Tabell 2" xr:uid="{00000000-0004-0000-0000-00001A000000}"/>
    <hyperlink ref="A5" location="'Tabell 3'!A1" display="Tabell 3" xr:uid="{00000000-0004-0000-0000-00001B000000}"/>
    <hyperlink ref="A6" location="'Tabell 4'!A1" display="Tabell 4" xr:uid="{00000000-0004-0000-0000-00001C000000}"/>
    <hyperlink ref="A7" location="'Tabell 5'!A1" display="Tabell 5" xr:uid="{00000000-0004-0000-0000-00001D000000}"/>
    <hyperlink ref="A8" location="'Tabell 6'!A1" display="Tabell 6" xr:uid="{00000000-0004-0000-0000-00001E000000}"/>
    <hyperlink ref="A9" location="'Tabell 7'!A1" display="Tabell 7" xr:uid="{00000000-0004-0000-0000-00001F000000}"/>
    <hyperlink ref="A10" location="'Tabell 8'!A1" display="Tabell 8" xr:uid="{00000000-0004-0000-0000-000020000000}"/>
    <hyperlink ref="A11" location="'Tabell 9'!A1" display="Tabell 9" xr:uid="{00000000-0004-0000-0000-000021000000}"/>
    <hyperlink ref="A12" location="'Tabell 10'!A1" display="Tabell 10" xr:uid="{00000000-0004-0000-0000-000022000000}"/>
    <hyperlink ref="A13" location="'Tabell 11'!A1" display="Tabell 11" xr:uid="{00000000-0004-0000-0000-000023000000}"/>
    <hyperlink ref="A14" location="'Tabell 12'!A1" display="Tabell 12" xr:uid="{00000000-0004-0000-0000-000024000000}"/>
    <hyperlink ref="A15:B15" location="Definitioner!A1" display="Definitioner" xr:uid="{00000000-0004-0000-0000-000025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S142"/>
  <sheetViews>
    <sheetView zoomScaleNormal="100" workbookViewId="0">
      <pane ySplit="2" topLeftCell="A51" activePane="bottomLeft" state="frozen"/>
      <selection activeCell="K42" sqref="K42"/>
      <selection pane="bottomLeft" activeCell="B1" sqref="B1"/>
    </sheetView>
  </sheetViews>
  <sheetFormatPr defaultColWidth="9" defaultRowHeight="15" x14ac:dyDescent="0.25"/>
  <cols>
    <col min="1" max="1" width="1.625" style="1" customWidth="1"/>
    <col min="2" max="2" width="29.625" style="1" customWidth="1"/>
    <col min="3" max="10" width="10" style="1" customWidth="1"/>
    <col min="11" max="16384" width="9" style="1"/>
  </cols>
  <sheetData>
    <row r="2" spans="2:12" ht="18.75" x14ac:dyDescent="0.3">
      <c r="B2" s="4" t="s">
        <v>12</v>
      </c>
    </row>
    <row r="3" spans="2:12" ht="18.75" x14ac:dyDescent="0.3">
      <c r="B3" s="4"/>
    </row>
    <row r="4" spans="2:12" ht="18.75" x14ac:dyDescent="0.3">
      <c r="B4" s="18" t="s">
        <v>295</v>
      </c>
      <c r="C4" s="19">
        <v>2014</v>
      </c>
      <c r="D4" s="19">
        <v>2015</v>
      </c>
      <c r="E4" s="19">
        <v>2016</v>
      </c>
      <c r="F4" s="19">
        <v>2017</v>
      </c>
      <c r="G4" s="19">
        <v>2018</v>
      </c>
      <c r="H4" s="19">
        <v>2019</v>
      </c>
      <c r="I4" s="19">
        <v>2020</v>
      </c>
      <c r="J4" s="19">
        <v>2021</v>
      </c>
    </row>
    <row r="5" spans="2:12" x14ac:dyDescent="0.25">
      <c r="B5" s="41" t="s">
        <v>253</v>
      </c>
      <c r="C5" s="100">
        <v>240</v>
      </c>
      <c r="D5" s="2">
        <v>481</v>
      </c>
      <c r="E5" s="2">
        <v>511</v>
      </c>
      <c r="F5" s="2">
        <v>482</v>
      </c>
      <c r="G5" s="21">
        <v>485</v>
      </c>
      <c r="H5" s="21">
        <v>514</v>
      </c>
      <c r="I5" s="21">
        <v>533</v>
      </c>
      <c r="J5" s="21">
        <v>593</v>
      </c>
    </row>
    <row r="6" spans="2:12" x14ac:dyDescent="0.25">
      <c r="B6" s="17" t="s">
        <v>88</v>
      </c>
      <c r="C6" s="36">
        <f>C5/'Tabell 8'!C22*100</f>
        <v>6.3424947145877377</v>
      </c>
      <c r="D6" s="36">
        <f>D5/'Tabell 8'!D22*100</f>
        <v>14.05775075987842</v>
      </c>
      <c r="E6" s="36">
        <f>E5/'Tabell 8'!E22*100</f>
        <v>14.939336354334163</v>
      </c>
      <c r="F6" s="36">
        <f>F5/'Tabell 8'!F22*100</f>
        <v>13.971014492753623</v>
      </c>
      <c r="G6" s="36">
        <f>G5/'Tabell 8'!G22*100</f>
        <v>12.973464583779156</v>
      </c>
      <c r="H6" s="36">
        <f>H5/'Tabell 8'!H22*100</f>
        <v>12.930817610062892</v>
      </c>
      <c r="I6" s="36">
        <f>I5/'Tabell 8'!I22*100</f>
        <v>13.047735618115055</v>
      </c>
      <c r="J6" s="36">
        <v>14.224034540657232</v>
      </c>
    </row>
    <row r="7" spans="2:12" x14ac:dyDescent="0.25">
      <c r="B7" s="2"/>
      <c r="C7" s="2"/>
      <c r="D7" s="2"/>
      <c r="E7" s="2"/>
      <c r="F7" s="2"/>
      <c r="G7" s="21"/>
      <c r="H7" s="21"/>
      <c r="I7" s="21"/>
      <c r="J7" s="21"/>
    </row>
    <row r="8" spans="2:12" x14ac:dyDescent="0.25">
      <c r="B8" s="41" t="s">
        <v>92</v>
      </c>
      <c r="C8" s="13">
        <f>1230+1067+640+692</f>
        <v>3629</v>
      </c>
      <c r="D8" s="13">
        <f>1102+975+617+632</f>
        <v>3326</v>
      </c>
      <c r="E8" s="13">
        <v>3206</v>
      </c>
      <c r="F8" s="13">
        <v>3083</v>
      </c>
      <c r="G8" s="13">
        <v>2920</v>
      </c>
      <c r="H8" s="13">
        <v>2801</v>
      </c>
      <c r="I8" s="13">
        <v>2755</v>
      </c>
      <c r="J8" s="13">
        <f>942+805+417+550</f>
        <v>2714</v>
      </c>
    </row>
    <row r="9" spans="2:12" x14ac:dyDescent="0.25">
      <c r="B9" s="17" t="s">
        <v>88</v>
      </c>
      <c r="C9" s="36">
        <f>C8/'Tabell 8'!C22*100</f>
        <v>95.903805496828753</v>
      </c>
      <c r="D9" s="36">
        <f>D8/'Tabell 8'!D22*100</f>
        <v>97.205985503857846</v>
      </c>
      <c r="E9" s="36">
        <f>E8/'Tabell 8'!E22*100</f>
        <v>93.72898699020611</v>
      </c>
      <c r="F9" s="36">
        <f>F8/'Tabell 8'!F22*100</f>
        <v>89.362318840579718</v>
      </c>
      <c r="G9" s="36">
        <f>G8/'Tabell 8'!G22*100</f>
        <v>78.108281617804408</v>
      </c>
      <c r="H9" s="36">
        <f>H8/'Tabell 8'!H22*100</f>
        <v>70.465408805031444</v>
      </c>
      <c r="I9" s="36">
        <f>I8/'Tabell 8'!I22*100</f>
        <v>67.441860465116278</v>
      </c>
      <c r="J9" s="36">
        <v>65.099544255217083</v>
      </c>
    </row>
    <row r="10" spans="2:12" x14ac:dyDescent="0.25">
      <c r="B10" s="2"/>
      <c r="C10" s="2"/>
      <c r="D10" s="2"/>
      <c r="E10" s="2"/>
      <c r="F10" s="2"/>
      <c r="G10" s="21"/>
      <c r="H10" s="21"/>
      <c r="I10" s="21"/>
      <c r="J10" s="21"/>
    </row>
    <row r="11" spans="2:12" x14ac:dyDescent="0.25">
      <c r="B11" s="41" t="s">
        <v>89</v>
      </c>
      <c r="C11" s="2">
        <v>452</v>
      </c>
      <c r="D11" s="2">
        <v>459</v>
      </c>
      <c r="E11" s="2">
        <v>447</v>
      </c>
      <c r="F11" s="2">
        <v>423</v>
      </c>
      <c r="G11" s="21">
        <v>408</v>
      </c>
      <c r="H11" s="21">
        <v>408</v>
      </c>
      <c r="I11" s="21">
        <v>386</v>
      </c>
      <c r="J11" s="21">
        <v>389</v>
      </c>
      <c r="L11" s="175"/>
    </row>
    <row r="12" spans="2:12" x14ac:dyDescent="0.25">
      <c r="B12" s="17" t="s">
        <v>90</v>
      </c>
      <c r="C12" s="36">
        <f>C11/'Tabell 3'!C5*100</f>
        <v>4.572461373491862</v>
      </c>
      <c r="D12" s="36">
        <f>D11/'Tabell 3'!D5*100</f>
        <v>4.7469172616113315</v>
      </c>
      <c r="E12" s="36">
        <f>E11/'Tabell 3'!E5*100</f>
        <v>4.9376352004418473</v>
      </c>
      <c r="F12" s="36">
        <f>F11/'Tabell 3'!F5*100</f>
        <v>5.0071813002099148</v>
      </c>
      <c r="G12" s="36">
        <f>G11/'Tabell 3'!G5*100</f>
        <v>5.0684698935372863</v>
      </c>
      <c r="H12" s="36">
        <f>H11/'Tabell 3'!H5*100</f>
        <v>5.2173357061412382</v>
      </c>
      <c r="I12" s="36">
        <f>I11/'Tabell 3'!I5*100</f>
        <v>5.0010256853197443</v>
      </c>
      <c r="J12" s="36">
        <v>4.8624999999999998</v>
      </c>
    </row>
    <row r="13" spans="2:12" x14ac:dyDescent="0.25">
      <c r="B13" s="17"/>
      <c r="C13" s="36"/>
      <c r="D13" s="36"/>
      <c r="E13" s="36"/>
      <c r="F13" s="36"/>
      <c r="G13" s="36"/>
      <c r="H13" s="36"/>
      <c r="I13" s="36"/>
      <c r="J13" s="36"/>
    </row>
    <row r="14" spans="2:12" x14ac:dyDescent="0.25">
      <c r="B14" s="41" t="s">
        <v>309</v>
      </c>
      <c r="C14" s="107" t="s">
        <v>310</v>
      </c>
      <c r="D14" s="107" t="s">
        <v>310</v>
      </c>
      <c r="E14" s="107" t="s">
        <v>310</v>
      </c>
      <c r="F14" s="107" t="s">
        <v>310</v>
      </c>
      <c r="G14" s="36">
        <v>33</v>
      </c>
      <c r="H14" s="36">
        <v>204</v>
      </c>
      <c r="I14" s="36">
        <v>233</v>
      </c>
      <c r="J14" s="36">
        <v>236</v>
      </c>
    </row>
    <row r="15" spans="2:12" x14ac:dyDescent="0.25">
      <c r="B15" s="14"/>
      <c r="C15" s="137"/>
      <c r="D15" s="137"/>
      <c r="E15" s="137"/>
      <c r="F15" s="137"/>
      <c r="G15" s="137"/>
      <c r="H15" s="137"/>
      <c r="I15" s="137"/>
      <c r="J15" s="161"/>
    </row>
    <row r="16" spans="2:12" ht="32.25" customHeight="1" x14ac:dyDescent="0.25">
      <c r="B16" s="92" t="s">
        <v>387</v>
      </c>
      <c r="C16" s="139"/>
      <c r="D16" s="139"/>
      <c r="E16" s="139"/>
      <c r="F16" s="138"/>
      <c r="G16" s="138"/>
      <c r="H16" s="138"/>
      <c r="I16" s="138"/>
      <c r="J16" s="138"/>
    </row>
    <row r="17" spans="2:10" ht="14.25" customHeight="1" x14ac:dyDescent="0.25">
      <c r="B17" s="15" t="s">
        <v>388</v>
      </c>
      <c r="C17" s="139"/>
      <c r="D17" s="139"/>
      <c r="E17" s="139"/>
      <c r="F17" s="138"/>
      <c r="G17" s="138"/>
      <c r="H17" s="138"/>
      <c r="I17" s="138"/>
      <c r="J17" s="138"/>
    </row>
    <row r="18" spans="2:10" ht="15" customHeight="1" x14ac:dyDescent="0.25">
      <c r="B18" s="92" t="s">
        <v>389</v>
      </c>
      <c r="C18" s="138"/>
      <c r="D18" s="138"/>
      <c r="E18" s="138"/>
      <c r="F18" s="138"/>
      <c r="G18" s="138"/>
      <c r="H18" s="138"/>
      <c r="I18" s="138"/>
      <c r="J18" s="138"/>
    </row>
    <row r="19" spans="2:10" ht="16.5" customHeight="1" x14ac:dyDescent="0.25">
      <c r="B19" s="15" t="s">
        <v>334</v>
      </c>
      <c r="C19" s="92"/>
      <c r="D19" s="92"/>
      <c r="E19" s="92"/>
      <c r="F19" s="92"/>
      <c r="G19" s="92"/>
      <c r="H19" s="92"/>
      <c r="I19" s="92"/>
      <c r="J19" s="92"/>
    </row>
    <row r="20" spans="2:10" ht="16.5" customHeight="1" x14ac:dyDescent="0.25">
      <c r="B20" s="15" t="s">
        <v>386</v>
      </c>
      <c r="C20" s="92"/>
      <c r="D20" s="92"/>
      <c r="E20" s="92"/>
      <c r="F20" s="92"/>
      <c r="G20" s="92"/>
      <c r="H20" s="92"/>
      <c r="I20" s="92"/>
      <c r="J20" s="92"/>
    </row>
    <row r="21" spans="2:10" x14ac:dyDescent="0.25">
      <c r="B21" s="140" t="s">
        <v>335</v>
      </c>
      <c r="C21" s="127"/>
      <c r="D21" s="127"/>
      <c r="E21" s="127"/>
      <c r="F21" s="127"/>
      <c r="G21" s="127"/>
      <c r="H21" s="127"/>
      <c r="I21" s="127"/>
      <c r="J21" s="127"/>
    </row>
    <row r="22" spans="2:10" x14ac:dyDescent="0.25">
      <c r="B22" s="140" t="s">
        <v>336</v>
      </c>
      <c r="C22" s="127"/>
      <c r="D22" s="127"/>
      <c r="E22" s="127"/>
      <c r="F22" s="127"/>
      <c r="G22" s="127"/>
      <c r="H22" s="127"/>
      <c r="I22" s="127"/>
      <c r="J22" s="127"/>
    </row>
    <row r="23" spans="2:10" ht="15" customHeight="1" x14ac:dyDescent="0.25">
      <c r="B23" s="92" t="s">
        <v>337</v>
      </c>
      <c r="C23" s="92"/>
      <c r="D23" s="92"/>
      <c r="E23" s="92"/>
      <c r="F23" s="92"/>
      <c r="G23" s="92"/>
      <c r="H23" s="92"/>
      <c r="I23" s="92"/>
      <c r="J23" s="92"/>
    </row>
    <row r="24" spans="2:10" x14ac:dyDescent="0.25">
      <c r="B24" s="148"/>
      <c r="C24" s="149"/>
      <c r="D24" s="149"/>
      <c r="E24" s="149"/>
      <c r="F24" s="149"/>
      <c r="G24" s="149"/>
      <c r="H24" s="137"/>
      <c r="I24" s="149"/>
      <c r="J24" s="161"/>
    </row>
    <row r="25" spans="2:10" x14ac:dyDescent="0.25">
      <c r="B25" s="47"/>
      <c r="J25" s="161"/>
    </row>
    <row r="26" spans="2:10" x14ac:dyDescent="0.25">
      <c r="B26" s="2"/>
      <c r="J26" s="161"/>
    </row>
    <row r="27" spans="2:10" x14ac:dyDescent="0.25">
      <c r="B27" s="41"/>
      <c r="J27" s="161"/>
    </row>
    <row r="28" spans="2:10" x14ac:dyDescent="0.25">
      <c r="B28" s="9"/>
      <c r="J28" s="161"/>
    </row>
    <row r="29" spans="2:10" x14ac:dyDescent="0.25">
      <c r="B29" s="9"/>
      <c r="J29" s="161"/>
    </row>
    <row r="30" spans="2:10" x14ac:dyDescent="0.25">
      <c r="B30" s="9"/>
      <c r="J30" s="161"/>
    </row>
    <row r="31" spans="2:10" x14ac:dyDescent="0.25">
      <c r="B31" s="10"/>
      <c r="J31" s="161"/>
    </row>
    <row r="32" spans="2:10" x14ac:dyDescent="0.25">
      <c r="B32" s="6"/>
      <c r="J32" s="161"/>
    </row>
    <row r="33" spans="2:10" x14ac:dyDescent="0.25">
      <c r="B33" s="6"/>
      <c r="J33" s="161"/>
    </row>
    <row r="34" spans="2:10" ht="18.75" x14ac:dyDescent="0.3">
      <c r="B34" s="18" t="s">
        <v>298</v>
      </c>
      <c r="C34" s="19">
        <v>2014</v>
      </c>
      <c r="D34" s="19">
        <v>2015</v>
      </c>
      <c r="E34" s="19">
        <v>2016</v>
      </c>
      <c r="F34" s="19">
        <v>2017</v>
      </c>
      <c r="G34" s="19">
        <v>2018</v>
      </c>
      <c r="H34" s="19">
        <v>2019</v>
      </c>
      <c r="I34" s="19">
        <v>2020</v>
      </c>
      <c r="J34" s="19">
        <v>2021</v>
      </c>
    </row>
    <row r="35" spans="2:10" x14ac:dyDescent="0.25">
      <c r="B35" s="41" t="s">
        <v>91</v>
      </c>
      <c r="C35" s="113">
        <v>178</v>
      </c>
      <c r="D35" s="113">
        <v>177</v>
      </c>
      <c r="E35" s="113">
        <v>181</v>
      </c>
      <c r="F35" s="113">
        <v>198</v>
      </c>
      <c r="G35" s="2">
        <v>199</v>
      </c>
      <c r="H35" s="2">
        <v>225</v>
      </c>
      <c r="I35" s="2">
        <v>227</v>
      </c>
      <c r="J35" s="2">
        <v>234</v>
      </c>
    </row>
    <row r="36" spans="2:10" x14ac:dyDescent="0.25">
      <c r="B36" s="17" t="s">
        <v>88</v>
      </c>
      <c r="C36" s="114">
        <f>C35/'Tabell 8'!C48*100</f>
        <v>6.1126373626373622</v>
      </c>
      <c r="D36" s="114">
        <f>D35/'Tabell 8'!D48*100</f>
        <v>6.2148876404494384</v>
      </c>
      <c r="E36" s="114">
        <f>E35/'Tabell 8'!E48*100</f>
        <v>6.2242090784044013</v>
      </c>
      <c r="F36" s="114">
        <f>F35/'Tabell 8'!F48*100</f>
        <v>7.043756670224119</v>
      </c>
      <c r="G36" s="114">
        <f>G35/'Tabell 8'!G48*100</f>
        <v>7.3813056379821953</v>
      </c>
      <c r="H36" s="114">
        <f>H35/'Tabell 8'!H48*100</f>
        <v>8.2478005865102642</v>
      </c>
      <c r="I36" s="114">
        <f>I35/'Tabell 8'!I48*100</f>
        <v>8.8395638629283493</v>
      </c>
      <c r="J36" s="114">
        <f>J35/'Tabell 8'!J48*100</f>
        <v>9.0909090909090917</v>
      </c>
    </row>
    <row r="37" spans="2:10" x14ac:dyDescent="0.25">
      <c r="B37" s="2"/>
      <c r="C37" s="113"/>
      <c r="D37" s="113"/>
      <c r="E37" s="113"/>
      <c r="F37" s="113"/>
      <c r="G37" s="2"/>
      <c r="H37" s="2"/>
      <c r="I37" s="2"/>
      <c r="J37" s="2"/>
    </row>
    <row r="38" spans="2:10" x14ac:dyDescent="0.25">
      <c r="B38" s="41" t="s">
        <v>299</v>
      </c>
      <c r="C38" s="115">
        <v>2308</v>
      </c>
      <c r="D38" s="115">
        <v>2306</v>
      </c>
      <c r="E38" s="115">
        <v>2105</v>
      </c>
      <c r="F38" s="115">
        <v>2034</v>
      </c>
      <c r="G38" s="13">
        <v>2049</v>
      </c>
      <c r="H38" s="13">
        <v>2041</v>
      </c>
      <c r="I38" s="13">
        <v>2026</v>
      </c>
      <c r="J38" s="13">
        <v>2077</v>
      </c>
    </row>
    <row r="39" spans="2:10" x14ac:dyDescent="0.25">
      <c r="B39" s="17" t="s">
        <v>88</v>
      </c>
      <c r="C39" s="114">
        <f>C38/'Tabell 8'!C48*100</f>
        <v>79.258241758241752</v>
      </c>
      <c r="D39" s="114">
        <f>D38/'Tabell 8'!D48*100</f>
        <v>80.969101123595507</v>
      </c>
      <c r="E39" s="114">
        <f>E38/'Tabell 8'!E48*100</f>
        <v>72.386519944979369</v>
      </c>
      <c r="F39" s="114">
        <f>F38/'Tabell 8'!F48*100</f>
        <v>72.358591248665959</v>
      </c>
      <c r="G39" s="114">
        <f>G38/'Tabell 8'!G48*100</f>
        <v>76.001483679525222</v>
      </c>
      <c r="H39" s="114">
        <f>H38/'Tabell 8'!H48*100</f>
        <v>74.81671554252199</v>
      </c>
      <c r="I39" s="114">
        <f>I38/'Tabell 8'!I48*100</f>
        <v>78.894080996884725</v>
      </c>
      <c r="J39" s="114">
        <f>J38/'Tabell 8'!J48*100</f>
        <v>80.691530691530687</v>
      </c>
    </row>
    <row r="40" spans="2:10" x14ac:dyDescent="0.25">
      <c r="B40" s="2"/>
      <c r="C40" s="113"/>
      <c r="D40" s="113"/>
      <c r="E40" s="113"/>
      <c r="F40" s="113"/>
      <c r="G40" s="2"/>
      <c r="H40" s="2"/>
      <c r="I40" s="2"/>
      <c r="J40" s="2"/>
    </row>
    <row r="41" spans="2:10" x14ac:dyDescent="0.25">
      <c r="B41" s="41" t="s">
        <v>89</v>
      </c>
      <c r="C41" s="113">
        <v>222</v>
      </c>
      <c r="D41" s="113">
        <v>200</v>
      </c>
      <c r="E41" s="113">
        <v>200</v>
      </c>
      <c r="F41" s="113">
        <v>221</v>
      </c>
      <c r="G41" s="2">
        <v>221</v>
      </c>
      <c r="H41" s="2">
        <v>228</v>
      </c>
      <c r="I41" s="2">
        <v>223</v>
      </c>
      <c r="J41" s="2">
        <v>235</v>
      </c>
    </row>
    <row r="42" spans="2:10" x14ac:dyDescent="0.25">
      <c r="B42" s="17" t="s">
        <v>90</v>
      </c>
      <c r="C42" s="114">
        <f>C41/'Tabell 3'!C31*100</f>
        <v>6.7170953101361581</v>
      </c>
      <c r="D42" s="114">
        <f>D41/'Tabell 3'!D31*100</f>
        <v>6.0569351907934585</v>
      </c>
      <c r="E42" s="114">
        <f>E41/'Tabell 3'!E31*100</f>
        <v>6.1255742725880555</v>
      </c>
      <c r="F42" s="114">
        <f>F41/'Tabell 3'!F31*100</f>
        <v>6.945317410433689</v>
      </c>
      <c r="G42" s="114">
        <f>G41/'Tabell 3'!G31*100</f>
        <v>6.9826224328593991</v>
      </c>
      <c r="H42" s="114">
        <f>H41/'Tabell 3'!H31*100</f>
        <v>7.0218663381583006</v>
      </c>
      <c r="I42" s="114">
        <f>I41/'Tabell 3'!I31*100</f>
        <v>6.7371601208459211</v>
      </c>
      <c r="J42" s="114">
        <f>J41/'Tabell 3'!J31*100</f>
        <v>6.9362455726092094</v>
      </c>
    </row>
    <row r="43" spans="2:10" x14ac:dyDescent="0.25">
      <c r="B43" s="14"/>
      <c r="J43" s="161"/>
    </row>
    <row r="44" spans="2:10" x14ac:dyDescent="0.25">
      <c r="B44" s="91" t="s">
        <v>297</v>
      </c>
      <c r="J44" s="161"/>
    </row>
    <row r="45" spans="2:10" x14ac:dyDescent="0.25">
      <c r="B45" s="91" t="s">
        <v>296</v>
      </c>
      <c r="J45" s="161"/>
    </row>
    <row r="46" spans="2:10" x14ac:dyDescent="0.25">
      <c r="B46" s="2"/>
      <c r="J46" s="161"/>
    </row>
    <row r="47" spans="2:10" x14ac:dyDescent="0.25">
      <c r="B47" s="41"/>
      <c r="C47" s="108"/>
      <c r="D47" s="109"/>
      <c r="E47" s="108"/>
      <c r="F47" s="108"/>
      <c r="J47" s="161"/>
    </row>
    <row r="48" spans="2:10" x14ac:dyDescent="0.25">
      <c r="B48" s="47"/>
      <c r="C48" s="108"/>
      <c r="D48" s="109"/>
      <c r="E48" s="108"/>
      <c r="F48" s="108"/>
      <c r="J48" s="161"/>
    </row>
    <row r="49" spans="2:13" x14ac:dyDescent="0.25">
      <c r="B49" s="14"/>
      <c r="C49" s="108"/>
      <c r="D49" s="109"/>
      <c r="E49" s="108"/>
      <c r="F49" s="108"/>
      <c r="J49" s="161"/>
    </row>
    <row r="50" spans="2:13" x14ac:dyDescent="0.25">
      <c r="B50" s="47"/>
      <c r="J50" s="161"/>
    </row>
    <row r="51" spans="2:13" x14ac:dyDescent="0.25">
      <c r="B51" s="47"/>
      <c r="C51" s="110"/>
      <c r="D51" s="110"/>
      <c r="E51" s="110"/>
      <c r="F51" s="110"/>
      <c r="J51" s="161"/>
    </row>
    <row r="52" spans="2:13" x14ac:dyDescent="0.25">
      <c r="B52" s="2"/>
      <c r="C52" s="110"/>
      <c r="D52" s="110"/>
      <c r="E52" s="110"/>
      <c r="F52" s="110"/>
      <c r="J52" s="161"/>
    </row>
    <row r="53" spans="2:13" x14ac:dyDescent="0.25">
      <c r="B53" s="41"/>
      <c r="C53" s="110"/>
      <c r="D53" s="110"/>
      <c r="E53" s="110"/>
      <c r="F53" s="110"/>
      <c r="J53" s="161"/>
    </row>
    <row r="54" spans="2:13" x14ac:dyDescent="0.25">
      <c r="B54" s="9"/>
      <c r="J54" s="161"/>
    </row>
    <row r="55" spans="2:13" x14ac:dyDescent="0.25">
      <c r="B55" s="9"/>
      <c r="J55" s="161"/>
    </row>
    <row r="56" spans="2:13" x14ac:dyDescent="0.25">
      <c r="B56" s="9"/>
      <c r="J56" s="161"/>
    </row>
    <row r="57" spans="2:13" x14ac:dyDescent="0.25">
      <c r="B57" s="10"/>
      <c r="J57" s="161"/>
    </row>
    <row r="58" spans="2:13" x14ac:dyDescent="0.25">
      <c r="B58" s="6"/>
      <c r="J58" s="161"/>
    </row>
    <row r="59" spans="2:13" x14ac:dyDescent="0.25">
      <c r="B59" s="6"/>
      <c r="J59" s="161"/>
    </row>
    <row r="60" spans="2:13" ht="18.75" x14ac:dyDescent="0.3">
      <c r="B60" s="18" t="s">
        <v>326</v>
      </c>
      <c r="C60" s="19">
        <v>2014</v>
      </c>
      <c r="D60" s="19">
        <v>2015</v>
      </c>
      <c r="E60" s="19">
        <v>2016</v>
      </c>
      <c r="F60" s="19">
        <v>2017</v>
      </c>
      <c r="G60" s="19">
        <v>2018</v>
      </c>
      <c r="H60" s="19">
        <v>2019</v>
      </c>
      <c r="I60" s="19">
        <v>2020</v>
      </c>
      <c r="J60" s="19">
        <v>2021</v>
      </c>
      <c r="L60" s="177"/>
      <c r="M60" s="177"/>
    </row>
    <row r="61" spans="2:13" x14ac:dyDescent="0.25">
      <c r="B61" s="41" t="s">
        <v>91</v>
      </c>
      <c r="C61" s="100">
        <v>13.45</v>
      </c>
      <c r="D61" s="100">
        <v>13.5</v>
      </c>
      <c r="E61" s="100">
        <v>14</v>
      </c>
      <c r="F61" s="100">
        <v>15</v>
      </c>
      <c r="G61" s="2">
        <v>15</v>
      </c>
      <c r="H61" s="100">
        <v>15.5</v>
      </c>
      <c r="I61" s="100">
        <v>15.1</v>
      </c>
      <c r="J61" s="100">
        <v>16.5</v>
      </c>
      <c r="L61" s="177"/>
      <c r="M61" s="177"/>
    </row>
    <row r="62" spans="2:13" x14ac:dyDescent="0.25">
      <c r="B62" s="17" t="s">
        <v>88</v>
      </c>
      <c r="C62" s="112">
        <f>C61/'Tabell 8'!C74*100</f>
        <v>9.4851904090267976</v>
      </c>
      <c r="D62" s="112">
        <f>D61/'Tabell 8'!D74*100</f>
        <v>9.2904824169017957</v>
      </c>
      <c r="E62" s="112">
        <f>E61/'Tabell 8'!E74*100</f>
        <v>11.191047162270184</v>
      </c>
      <c r="F62" s="112">
        <f>F61/'Tabell 8'!F74*100</f>
        <v>10.830324909747292</v>
      </c>
      <c r="G62" s="112">
        <f>G61/'Tabell 8'!G74*100</f>
        <v>10.678436676870504</v>
      </c>
      <c r="H62" s="112">
        <f>H61/'Tabell 8'!H74*100</f>
        <v>9.8537825810553077</v>
      </c>
      <c r="I62" s="112">
        <f>I61/'Tabell 8'!I74*100</f>
        <v>11.852433281004709</v>
      </c>
      <c r="J62" s="112">
        <f>J61/'Tabell 8'!J74*100</f>
        <v>12.132352941176471</v>
      </c>
      <c r="L62" s="177"/>
      <c r="M62" s="177"/>
    </row>
    <row r="63" spans="2:13" x14ac:dyDescent="0.25">
      <c r="B63" s="2"/>
      <c r="C63" s="2"/>
      <c r="D63" s="2"/>
      <c r="E63" s="2"/>
      <c r="F63" s="2"/>
      <c r="G63" s="2"/>
      <c r="H63" s="2"/>
      <c r="I63" s="2"/>
      <c r="J63" s="2"/>
      <c r="L63" s="177"/>
      <c r="M63" s="177"/>
    </row>
    <row r="64" spans="2:13" x14ac:dyDescent="0.25">
      <c r="B64" s="41" t="s">
        <v>299</v>
      </c>
      <c r="C64" s="100">
        <v>117.48</v>
      </c>
      <c r="D64" s="100">
        <v>113.52</v>
      </c>
      <c r="E64" s="100">
        <v>105</v>
      </c>
      <c r="F64" s="100">
        <v>111</v>
      </c>
      <c r="G64" s="2">
        <v>112</v>
      </c>
      <c r="H64" s="2">
        <v>114</v>
      </c>
      <c r="I64" s="100">
        <v>113.1</v>
      </c>
      <c r="J64" s="100">
        <v>119.6</v>
      </c>
      <c r="L64" s="177"/>
      <c r="M64" s="177"/>
    </row>
    <row r="65" spans="2:19" x14ac:dyDescent="0.25">
      <c r="B65" s="17" t="s">
        <v>88</v>
      </c>
      <c r="C65" s="112">
        <f>C64/'Tabell 8'!C74*100</f>
        <v>82.849083215796895</v>
      </c>
      <c r="D65" s="112">
        <f>D64/'Tabell 8'!D74*100</f>
        <v>78.122634367903103</v>
      </c>
      <c r="E65" s="112">
        <f>E64/'Tabell 8'!E74*100</f>
        <v>83.932853717026376</v>
      </c>
      <c r="F65" s="112">
        <f>F64/'Tabell 8'!F74*100</f>
        <v>80.144404332129966</v>
      </c>
      <c r="G65" s="112">
        <f>G64/'Tabell 8'!G74*100</f>
        <v>79.732327187299774</v>
      </c>
      <c r="H65" s="112">
        <f>H64/'Tabell 8'!H74*100</f>
        <v>72.472981563890642</v>
      </c>
      <c r="I65" s="112">
        <f>I64/'Tabell 8'!I74*100</f>
        <v>88.775510204081627</v>
      </c>
      <c r="J65" s="112">
        <f>J64/'Tabell 8'!J74*100</f>
        <v>87.941176470588232</v>
      </c>
    </row>
    <row r="66" spans="2:19" x14ac:dyDescent="0.25">
      <c r="B66" s="2"/>
      <c r="C66" s="2"/>
      <c r="D66" s="2"/>
      <c r="E66" s="2"/>
      <c r="F66" s="2"/>
      <c r="G66" s="2"/>
      <c r="H66" s="2"/>
      <c r="I66" s="2"/>
      <c r="J66" s="2"/>
      <c r="L66" s="177"/>
      <c r="M66" s="177"/>
      <c r="N66" s="167"/>
      <c r="O66" s="167"/>
      <c r="P66" s="167"/>
      <c r="Q66" s="167"/>
      <c r="R66" s="167"/>
      <c r="S66" s="167"/>
    </row>
    <row r="67" spans="2:19" x14ac:dyDescent="0.25">
      <c r="B67" s="41" t="s">
        <v>89</v>
      </c>
      <c r="C67" s="100">
        <v>4.5</v>
      </c>
      <c r="D67" s="100">
        <v>4.5</v>
      </c>
      <c r="E67" s="100">
        <v>5</v>
      </c>
      <c r="F67" s="100">
        <v>5</v>
      </c>
      <c r="G67" s="2">
        <v>5</v>
      </c>
      <c r="H67" s="100">
        <v>5.5</v>
      </c>
      <c r="I67" s="100">
        <v>5.5</v>
      </c>
      <c r="J67" s="100">
        <v>5</v>
      </c>
      <c r="L67" s="177"/>
      <c r="M67" s="177"/>
      <c r="N67" s="167"/>
      <c r="O67" s="167"/>
      <c r="P67" s="167"/>
      <c r="Q67" s="167"/>
      <c r="R67" s="167"/>
      <c r="S67" s="167"/>
    </row>
    <row r="68" spans="2:19" x14ac:dyDescent="0.25">
      <c r="B68" s="17" t="s">
        <v>90</v>
      </c>
      <c r="C68" s="112">
        <f>C67/'Tabell 3'!C57*100</f>
        <v>2.083333333333333</v>
      </c>
      <c r="D68" s="112">
        <f>D67/'Tabell 3'!D57*100</f>
        <v>1.875</v>
      </c>
      <c r="E68" s="112">
        <f>E67/'Tabell 3'!E57*100</f>
        <v>2</v>
      </c>
      <c r="F68" s="112">
        <f>F67/'Tabell 3'!F57*100</f>
        <v>2.0964360587002098</v>
      </c>
      <c r="G68" s="112">
        <f>G67/'Tabell 3'!G57*100</f>
        <v>1.9364833462432223</v>
      </c>
      <c r="H68" s="112">
        <f>H67/'Tabell 3'!H57*100</f>
        <v>2.1958717610891525</v>
      </c>
      <c r="I68" s="112">
        <f>I67/'Tabell 3'!I57*100</f>
        <v>2.1227325357005014</v>
      </c>
      <c r="J68" s="112">
        <f>J67/'Tabell 3'!J57*100</f>
        <v>1.9062142584826536</v>
      </c>
    </row>
    <row r="69" spans="2:19" x14ac:dyDescent="0.25">
      <c r="B69" s="14"/>
      <c r="J69" s="161"/>
    </row>
    <row r="70" spans="2:19" x14ac:dyDescent="0.25">
      <c r="B70" s="91" t="s">
        <v>327</v>
      </c>
      <c r="J70" s="161"/>
    </row>
    <row r="71" spans="2:19" x14ac:dyDescent="0.25">
      <c r="B71" s="91" t="s">
        <v>328</v>
      </c>
      <c r="J71" s="161"/>
    </row>
    <row r="72" spans="2:19" x14ac:dyDescent="0.25">
      <c r="B72" s="2"/>
      <c r="C72" s="99"/>
      <c r="D72" s="99"/>
      <c r="E72" s="99"/>
      <c r="F72" s="99"/>
      <c r="G72" s="99"/>
      <c r="H72" s="99"/>
      <c r="I72" s="99"/>
      <c r="J72" s="99"/>
    </row>
    <row r="73" spans="2:19" x14ac:dyDescent="0.25">
      <c r="B73" s="41"/>
      <c r="J73" s="161"/>
    </row>
    <row r="74" spans="2:19" x14ac:dyDescent="0.25">
      <c r="B74" s="47"/>
      <c r="J74" s="161"/>
    </row>
    <row r="75" spans="2:19" x14ac:dyDescent="0.25">
      <c r="B75" s="14"/>
      <c r="J75" s="161"/>
    </row>
    <row r="76" spans="2:19" x14ac:dyDescent="0.25">
      <c r="B76" s="47"/>
      <c r="J76" s="161"/>
    </row>
    <row r="77" spans="2:19" x14ac:dyDescent="0.25">
      <c r="B77" s="47"/>
      <c r="J77" s="161"/>
    </row>
    <row r="78" spans="2:19" x14ac:dyDescent="0.25">
      <c r="B78" s="2"/>
      <c r="J78" s="161"/>
    </row>
    <row r="79" spans="2:19" x14ac:dyDescent="0.25">
      <c r="B79" s="41"/>
      <c r="J79" s="161"/>
    </row>
    <row r="80" spans="2:19" x14ac:dyDescent="0.25">
      <c r="B80" s="9"/>
      <c r="J80" s="161"/>
    </row>
    <row r="81" spans="2:10" x14ac:dyDescent="0.25">
      <c r="B81" s="9"/>
      <c r="J81" s="161"/>
    </row>
    <row r="82" spans="2:10" x14ac:dyDescent="0.25">
      <c r="B82" s="9"/>
      <c r="J82" s="161"/>
    </row>
    <row r="83" spans="2:10" x14ac:dyDescent="0.25">
      <c r="B83" s="10"/>
      <c r="J83" s="161"/>
    </row>
    <row r="84" spans="2:10" x14ac:dyDescent="0.25">
      <c r="B84" s="6"/>
      <c r="J84" s="161"/>
    </row>
    <row r="85" spans="2:10" x14ac:dyDescent="0.25">
      <c r="B85" s="6"/>
      <c r="J85" s="161"/>
    </row>
    <row r="86" spans="2:10" ht="18.75" x14ac:dyDescent="0.3">
      <c r="B86" s="18" t="s">
        <v>131</v>
      </c>
      <c r="C86" s="19">
        <v>2014</v>
      </c>
      <c r="D86" s="19">
        <v>2015</v>
      </c>
      <c r="E86" s="19">
        <v>2016</v>
      </c>
      <c r="F86" s="19">
        <v>2017</v>
      </c>
      <c r="G86" s="19">
        <v>2018</v>
      </c>
      <c r="H86" s="19">
        <v>2019</v>
      </c>
      <c r="I86" s="19">
        <v>2020</v>
      </c>
      <c r="J86" s="19">
        <v>2021</v>
      </c>
    </row>
    <row r="87" spans="2:10" x14ac:dyDescent="0.25">
      <c r="B87" s="41" t="s">
        <v>91</v>
      </c>
      <c r="C87" s="100">
        <v>220.9</v>
      </c>
      <c r="D87" s="100">
        <v>217.1</v>
      </c>
      <c r="E87" s="100">
        <v>218.5</v>
      </c>
      <c r="F87" s="100">
        <v>218.8</v>
      </c>
      <c r="G87" s="100">
        <v>226.8</v>
      </c>
      <c r="H87" s="100">
        <v>227.4</v>
      </c>
      <c r="I87" s="100">
        <v>244.1</v>
      </c>
      <c r="J87" s="100">
        <v>245</v>
      </c>
    </row>
    <row r="88" spans="2:10" x14ac:dyDescent="0.25">
      <c r="B88" s="17" t="s">
        <v>304</v>
      </c>
      <c r="C88" s="36">
        <f>C87/'Tabell 8'!C101*100</f>
        <v>5.9452127722328401</v>
      </c>
      <c r="D88" s="36">
        <f>D87/'Tabell 8'!D101*100</f>
        <v>5.7955152162306458</v>
      </c>
      <c r="E88" s="36">
        <f>E87/'Tabell 8'!E101*100</f>
        <v>5.6753246753246751</v>
      </c>
      <c r="F88" s="36">
        <f>F87/'Tabell 8'!F101*100</f>
        <v>5.9928786633798961</v>
      </c>
      <c r="G88" s="36">
        <f>G87/'Tabell 8'!G101*100</f>
        <v>6.7663477781631993</v>
      </c>
      <c r="H88" s="36">
        <f>H87/'Tabell 8'!H101*100</f>
        <v>7.0081360946745566</v>
      </c>
      <c r="I88" s="36">
        <f>I87/'Tabell 8'!I101*100</f>
        <v>8.3191329834367131</v>
      </c>
      <c r="J88" s="36">
        <f>J87/'Tabell 8'!J101*100</f>
        <v>7.980456026058631</v>
      </c>
    </row>
    <row r="89" spans="2:10" x14ac:dyDescent="0.25">
      <c r="B89" s="2"/>
      <c r="C89" s="2"/>
      <c r="D89" s="2"/>
      <c r="E89" s="2"/>
      <c r="F89" s="2"/>
      <c r="G89" s="2"/>
      <c r="H89" s="2"/>
      <c r="I89" s="2"/>
      <c r="J89" s="2"/>
    </row>
    <row r="90" spans="2:10" x14ac:dyDescent="0.25">
      <c r="B90" s="41" t="s">
        <v>380</v>
      </c>
      <c r="C90" s="123">
        <v>3530</v>
      </c>
      <c r="D90" s="123">
        <v>3568.8</v>
      </c>
      <c r="E90" s="123">
        <v>3594</v>
      </c>
      <c r="F90" s="123">
        <v>3632.3</v>
      </c>
      <c r="G90" s="13">
        <v>3674.5</v>
      </c>
      <c r="H90" s="13">
        <v>3619</v>
      </c>
      <c r="I90" s="13">
        <v>3632</v>
      </c>
      <c r="J90" s="13">
        <v>3803</v>
      </c>
    </row>
    <row r="91" spans="2:10" x14ac:dyDescent="0.25">
      <c r="B91" s="17" t="s">
        <v>88</v>
      </c>
      <c r="C91" s="36">
        <f>C90/'Tabell 8'!C101*100</f>
        <v>95.004984544961175</v>
      </c>
      <c r="D91" s="36">
        <f>D90/'Tabell 8'!D101*100</f>
        <v>95.269620928990932</v>
      </c>
      <c r="E91" s="36">
        <f>E90/'Tabell 8'!E101*100</f>
        <v>93.350649350649348</v>
      </c>
      <c r="F91" s="36">
        <f>F90/'Tabell 8'!F101*100</f>
        <v>99.487811558477134</v>
      </c>
      <c r="G91" s="36">
        <f>G90/'Tabell 8'!G101*100</f>
        <v>109.62497756111409</v>
      </c>
      <c r="H91" s="36">
        <f>H90/'Tabell 8'!H101*100</f>
        <v>111.53229783037474</v>
      </c>
      <c r="I91" s="36">
        <f>I90/'Tabell 8'!I101*100</f>
        <v>123.78160997886989</v>
      </c>
      <c r="J91" s="36">
        <f>J90/'Tabell 8'!J101*100</f>
        <v>123.87622149837134</v>
      </c>
    </row>
    <row r="92" spans="2:10" x14ac:dyDescent="0.25">
      <c r="B92" s="2"/>
      <c r="C92" s="2"/>
      <c r="D92" s="2"/>
      <c r="E92" s="2"/>
      <c r="F92" s="2"/>
      <c r="G92" s="2"/>
      <c r="H92" s="2"/>
      <c r="I92" s="2"/>
      <c r="J92" s="2"/>
    </row>
    <row r="93" spans="2:10" x14ac:dyDescent="0.25">
      <c r="B93" s="41" t="s">
        <v>89</v>
      </c>
      <c r="C93" s="105">
        <v>403.3</v>
      </c>
      <c r="D93" s="105">
        <v>432</v>
      </c>
      <c r="E93" s="105">
        <v>425.6</v>
      </c>
      <c r="F93" s="105">
        <v>432.6</v>
      </c>
      <c r="G93" s="100">
        <v>472.7</v>
      </c>
      <c r="H93" s="100">
        <v>473</v>
      </c>
      <c r="I93" s="100">
        <v>486.2</v>
      </c>
      <c r="J93" s="100">
        <v>505</v>
      </c>
    </row>
    <row r="94" spans="2:10" x14ac:dyDescent="0.25">
      <c r="B94" s="17" t="s">
        <v>90</v>
      </c>
      <c r="C94" s="36">
        <f>C93/'Tabell 3'!C83*100</f>
        <v>15.649980597594102</v>
      </c>
      <c r="D94" s="36">
        <f>D93/'Tabell 3'!D83*100</f>
        <v>17.697664891437938</v>
      </c>
      <c r="E94" s="36">
        <f>E93/'Tabell 3'!E83*100</f>
        <v>18.273937312151141</v>
      </c>
      <c r="F94" s="36">
        <f>F93/'Tabell 3'!F83*100</f>
        <v>18.42419080068143</v>
      </c>
      <c r="G94" s="36">
        <f>G93/'Tabell 3'!G83*100</f>
        <v>20.550386922876275</v>
      </c>
      <c r="H94" s="36">
        <f>H93/'Tabell 3'!H83*100</f>
        <v>19.807370184254605</v>
      </c>
      <c r="I94" s="36">
        <f>I93/'Tabell 3'!I83*100</f>
        <v>19.588251883485757</v>
      </c>
      <c r="J94" s="36">
        <f>J93/'Tabell 3'!J83*100</f>
        <v>18.181163594470046</v>
      </c>
    </row>
    <row r="95" spans="2:10" x14ac:dyDescent="0.25">
      <c r="B95" s="14"/>
      <c r="J95" s="161"/>
    </row>
    <row r="96" spans="2:10" x14ac:dyDescent="0.25">
      <c r="B96" s="91" t="s">
        <v>379</v>
      </c>
      <c r="J96" s="161"/>
    </row>
    <row r="97" spans="2:10" x14ac:dyDescent="0.25">
      <c r="B97" s="16" t="s">
        <v>340</v>
      </c>
      <c r="J97" s="161"/>
    </row>
    <row r="98" spans="2:10" x14ac:dyDescent="0.25">
      <c r="B98" s="16" t="s">
        <v>322</v>
      </c>
      <c r="J98" s="161"/>
    </row>
    <row r="99" spans="2:10" x14ac:dyDescent="0.25">
      <c r="J99" s="161"/>
    </row>
    <row r="100" spans="2:10" x14ac:dyDescent="0.25">
      <c r="B100" s="47"/>
      <c r="J100" s="161"/>
    </row>
    <row r="101" spans="2:10" x14ac:dyDescent="0.25">
      <c r="B101" s="14"/>
      <c r="J101" s="161"/>
    </row>
    <row r="102" spans="2:10" x14ac:dyDescent="0.25">
      <c r="B102" s="47"/>
      <c r="J102" s="161"/>
    </row>
    <row r="103" spans="2:10" x14ac:dyDescent="0.25">
      <c r="B103" s="47"/>
      <c r="J103" s="161"/>
    </row>
    <row r="104" spans="2:10" x14ac:dyDescent="0.25">
      <c r="B104" s="2"/>
      <c r="J104" s="161"/>
    </row>
    <row r="105" spans="2:10" x14ac:dyDescent="0.25">
      <c r="B105" s="41"/>
      <c r="J105" s="161"/>
    </row>
    <row r="106" spans="2:10" x14ac:dyDescent="0.25">
      <c r="B106" s="9"/>
      <c r="J106" s="161"/>
    </row>
    <row r="107" spans="2:10" x14ac:dyDescent="0.25">
      <c r="B107" s="9"/>
      <c r="J107" s="161"/>
    </row>
    <row r="108" spans="2:10" x14ac:dyDescent="0.25">
      <c r="B108" s="9"/>
      <c r="J108" s="161"/>
    </row>
    <row r="109" spans="2:10" x14ac:dyDescent="0.25">
      <c r="B109" s="10"/>
      <c r="J109" s="161"/>
    </row>
    <row r="110" spans="2:10" x14ac:dyDescent="0.25">
      <c r="B110" s="6"/>
      <c r="J110" s="161"/>
    </row>
    <row r="111" spans="2:10" x14ac:dyDescent="0.25">
      <c r="B111" s="6"/>
      <c r="J111" s="161"/>
    </row>
    <row r="112" spans="2:10" ht="18.75" x14ac:dyDescent="0.3">
      <c r="B112" s="18" t="s">
        <v>255</v>
      </c>
      <c r="C112" s="19">
        <v>2014</v>
      </c>
      <c r="D112" s="19">
        <v>2015</v>
      </c>
      <c r="E112" s="19">
        <v>2016</v>
      </c>
      <c r="F112" s="19">
        <v>2017</v>
      </c>
      <c r="G112" s="19">
        <v>2018</v>
      </c>
      <c r="H112" s="19">
        <v>2019</v>
      </c>
      <c r="I112" s="19">
        <v>2020</v>
      </c>
      <c r="J112" s="19">
        <v>2021</v>
      </c>
    </row>
    <row r="113" spans="2:15" x14ac:dyDescent="0.25">
      <c r="B113" s="41" t="s">
        <v>253</v>
      </c>
      <c r="C113" s="52">
        <v>628</v>
      </c>
      <c r="D113" s="52">
        <v>788</v>
      </c>
      <c r="E113" s="52">
        <v>884</v>
      </c>
      <c r="F113" s="52">
        <v>920</v>
      </c>
      <c r="G113" s="13">
        <v>940</v>
      </c>
      <c r="H113" s="13">
        <v>915</v>
      </c>
      <c r="I113" s="28">
        <v>953</v>
      </c>
      <c r="J113" s="13">
        <v>1136</v>
      </c>
    </row>
    <row r="114" spans="2:15" x14ac:dyDescent="0.25">
      <c r="B114" s="17" t="s">
        <v>88</v>
      </c>
      <c r="C114" s="36">
        <f>C113/'Tabell 8'!C127*100</f>
        <v>11.45567311200292</v>
      </c>
      <c r="D114" s="36">
        <f>D113/'Tabell 8'!D127*100</f>
        <v>14.579093432007401</v>
      </c>
      <c r="E114" s="36">
        <f>E113/'Tabell 8'!E127*100</f>
        <v>16.340110905730128</v>
      </c>
      <c r="F114" s="36">
        <f>F113/'Tabell 8'!F127*100</f>
        <v>16.864828400371028</v>
      </c>
      <c r="G114" s="36">
        <f>G113/'Tabell 8'!G127*100</f>
        <v>16.070491329628002</v>
      </c>
      <c r="H114" s="36">
        <f>H113/'Tabell 8'!H127*100</f>
        <v>14.607279693486591</v>
      </c>
      <c r="I114" s="36">
        <f>I113/'Tabell 8'!I127*100</f>
        <v>14.221757946575138</v>
      </c>
      <c r="J114" s="36">
        <f>J113/'Tabell 8'!J127*100</f>
        <v>15.910364145658262</v>
      </c>
    </row>
    <row r="115" spans="2:15" x14ac:dyDescent="0.25">
      <c r="B115" s="2"/>
      <c r="C115" s="2"/>
      <c r="D115" s="2"/>
      <c r="E115" s="2"/>
      <c r="F115" s="2"/>
      <c r="G115" s="13"/>
      <c r="H115" s="13"/>
      <c r="I115" s="13"/>
      <c r="J115" s="13"/>
    </row>
    <row r="116" spans="2:15" x14ac:dyDescent="0.25">
      <c r="B116" s="41" t="s">
        <v>254</v>
      </c>
      <c r="C116" s="27">
        <v>6376</v>
      </c>
      <c r="D116" s="27">
        <v>6976</v>
      </c>
      <c r="E116" s="27">
        <v>7039</v>
      </c>
      <c r="F116" s="27">
        <v>7129</v>
      </c>
      <c r="G116" s="39">
        <v>7192</v>
      </c>
      <c r="H116" s="39">
        <v>7185</v>
      </c>
      <c r="I116" s="60">
        <v>7506</v>
      </c>
      <c r="J116" s="39">
        <v>7992</v>
      </c>
    </row>
    <row r="117" spans="2:15" x14ac:dyDescent="0.25">
      <c r="B117" s="17" t="s">
        <v>88</v>
      </c>
      <c r="C117" s="36">
        <f>C116/'Tabell 8'!C127*100</f>
        <v>116.30791681867932</v>
      </c>
      <c r="D117" s="36">
        <f>D116/'Tabell 8'!D127*100</f>
        <v>129.06567992599446</v>
      </c>
      <c r="E117" s="36">
        <f>E116/'Tabell 8'!E127*100</f>
        <v>130.11090573012939</v>
      </c>
      <c r="F117" s="36">
        <f>F116/'Tabell 8'!F127*100</f>
        <v>130.68408876765764</v>
      </c>
      <c r="G117" s="98">
        <f>G116/'Tabell 8'!G127*100</f>
        <v>122.95635493902617</v>
      </c>
      <c r="H117" s="98">
        <f>H116/'Tabell 8'!H127*100</f>
        <v>114.70306513409963</v>
      </c>
      <c r="I117" s="98">
        <f>I116/'Tabell 8'!I127*100</f>
        <v>112.01313236830323</v>
      </c>
      <c r="J117" s="98">
        <f>J116/'Tabell 8'!J127*100</f>
        <v>111.9327731092437</v>
      </c>
    </row>
    <row r="118" spans="2:15" x14ac:dyDescent="0.25">
      <c r="B118" s="2"/>
      <c r="C118" s="2"/>
      <c r="D118" s="2"/>
      <c r="E118" s="2"/>
      <c r="F118" s="2"/>
      <c r="G118" s="98"/>
      <c r="H118" s="98"/>
      <c r="I118" s="98"/>
      <c r="J118" s="98"/>
    </row>
    <row r="119" spans="2:15" x14ac:dyDescent="0.25">
      <c r="B119" s="41" t="s">
        <v>360</v>
      </c>
      <c r="C119" s="12">
        <v>1099</v>
      </c>
      <c r="D119" s="12">
        <v>1110</v>
      </c>
      <c r="E119" s="12">
        <v>1112</v>
      </c>
      <c r="F119" s="12">
        <v>1132</v>
      </c>
      <c r="G119" s="13">
        <v>1117</v>
      </c>
      <c r="H119" s="13">
        <v>1057</v>
      </c>
      <c r="I119" s="28">
        <v>1049</v>
      </c>
      <c r="J119" s="13">
        <v>1188</v>
      </c>
    </row>
    <row r="120" spans="2:15" x14ac:dyDescent="0.25">
      <c r="B120" s="17" t="s">
        <v>90</v>
      </c>
      <c r="C120" s="36">
        <f>C119/'Tabell 3'!C109*100</f>
        <v>9.091661151555261</v>
      </c>
      <c r="D120" s="36">
        <f>D119/'Tabell 3'!D109*100</f>
        <v>9.7308670114841753</v>
      </c>
      <c r="E120" s="36">
        <f>E119/'Tabell 3'!E109*100</f>
        <v>10.362501164849501</v>
      </c>
      <c r="F120" s="36">
        <f>F119/'Tabell 3'!F109*100</f>
        <v>11.458649660896853</v>
      </c>
      <c r="G120" s="36">
        <f>G119/'Tabell 3'!G109*100</f>
        <v>11.278271405492731</v>
      </c>
      <c r="H120" s="36">
        <f>H119/'Tabell 3'!H109*100</f>
        <v>10.420979986197377</v>
      </c>
      <c r="I120" s="36">
        <f>I119/'Tabell 3'!I109*100</f>
        <v>9.8294602698650682</v>
      </c>
      <c r="J120" s="36">
        <f>J119/'Tabell 3'!J109*100</f>
        <v>9.8794178794178791</v>
      </c>
    </row>
    <row r="121" spans="2:15" x14ac:dyDescent="0.25">
      <c r="B121" s="14"/>
      <c r="C121" s="2"/>
      <c r="D121" s="2"/>
      <c r="E121" s="2"/>
      <c r="F121" s="2"/>
      <c r="G121" s="38"/>
      <c r="H121" s="38"/>
      <c r="I121" s="38"/>
      <c r="J121" s="38"/>
    </row>
    <row r="122" spans="2:15" x14ac:dyDescent="0.25">
      <c r="B122" s="41" t="s">
        <v>359</v>
      </c>
      <c r="C122" s="2"/>
      <c r="D122" s="2">
        <v>449</v>
      </c>
      <c r="E122" s="2">
        <v>501</v>
      </c>
      <c r="F122" s="2">
        <v>602</v>
      </c>
      <c r="G122" s="126">
        <v>743</v>
      </c>
      <c r="H122" s="126">
        <v>780</v>
      </c>
      <c r="I122" s="160">
        <v>785</v>
      </c>
      <c r="J122" s="126">
        <v>808</v>
      </c>
    </row>
    <row r="123" spans="2:15" x14ac:dyDescent="0.25">
      <c r="B123" s="14"/>
      <c r="C123" s="2"/>
      <c r="D123" s="2"/>
      <c r="E123" s="2"/>
      <c r="F123" s="2"/>
      <c r="G123" s="38"/>
      <c r="H123" s="38"/>
    </row>
    <row r="124" spans="2:15" x14ac:dyDescent="0.25">
      <c r="B124" s="127" t="s">
        <v>332</v>
      </c>
      <c r="C124" s="21"/>
      <c r="D124" s="21"/>
      <c r="E124" s="21"/>
      <c r="F124" s="21"/>
      <c r="G124" s="38"/>
      <c r="H124" s="38"/>
      <c r="O124" s="131"/>
    </row>
    <row r="125" spans="2:15" x14ac:dyDescent="0.25">
      <c r="B125" s="169" t="s">
        <v>363</v>
      </c>
      <c r="C125" s="21"/>
      <c r="D125" s="21"/>
      <c r="E125" s="21"/>
      <c r="F125" s="21"/>
      <c r="G125" s="38"/>
      <c r="H125" s="38"/>
    </row>
    <row r="126" spans="2:15" x14ac:dyDescent="0.25">
      <c r="B126" s="168" t="s">
        <v>364</v>
      </c>
      <c r="C126" s="2"/>
      <c r="D126" s="2"/>
      <c r="E126" s="2"/>
      <c r="F126" s="2"/>
      <c r="G126" s="36"/>
      <c r="H126" s="36"/>
    </row>
    <row r="127" spans="2:15" x14ac:dyDescent="0.25">
      <c r="B127" s="168" t="s">
        <v>365</v>
      </c>
      <c r="C127" s="2"/>
      <c r="D127" s="2"/>
      <c r="E127" s="2"/>
      <c r="F127" s="2"/>
      <c r="G127" s="36"/>
      <c r="H127" s="36"/>
    </row>
    <row r="128" spans="2:15" x14ac:dyDescent="0.25">
      <c r="B128" s="127" t="s">
        <v>366</v>
      </c>
      <c r="C128" s="2"/>
      <c r="D128" s="2"/>
      <c r="E128" s="2"/>
      <c r="F128" s="2"/>
      <c r="G128" s="38"/>
      <c r="H128" s="38"/>
    </row>
    <row r="129" spans="2:8" x14ac:dyDescent="0.25">
      <c r="B129" s="168" t="s">
        <v>302</v>
      </c>
      <c r="C129" s="2"/>
      <c r="D129" s="2"/>
      <c r="E129" s="2"/>
      <c r="F129" s="2"/>
      <c r="G129" s="38"/>
      <c r="H129" s="38"/>
    </row>
    <row r="130" spans="2:8" x14ac:dyDescent="0.25">
      <c r="B130" s="168" t="s">
        <v>367</v>
      </c>
      <c r="C130" s="21"/>
      <c r="D130" s="21"/>
      <c r="E130" s="21"/>
      <c r="F130" s="21"/>
      <c r="G130" s="36"/>
      <c r="H130" s="36"/>
    </row>
    <row r="131" spans="2:8" x14ac:dyDescent="0.25">
      <c r="B131" s="127" t="s">
        <v>362</v>
      </c>
      <c r="C131" s="21"/>
      <c r="D131" s="21"/>
      <c r="E131" s="50"/>
      <c r="F131" s="50"/>
      <c r="G131" s="36"/>
      <c r="H131" s="36"/>
    </row>
    <row r="132" spans="2:8" x14ac:dyDescent="0.25">
      <c r="B132" s="127" t="s">
        <v>358</v>
      </c>
      <c r="C132" s="2"/>
      <c r="D132" s="2"/>
      <c r="E132" s="2"/>
      <c r="F132" s="2"/>
      <c r="G132" s="22"/>
      <c r="H132" s="22"/>
    </row>
    <row r="133" spans="2:8" x14ac:dyDescent="0.25">
      <c r="B133" s="168" t="s">
        <v>303</v>
      </c>
      <c r="C133" s="13"/>
      <c r="D133" s="13"/>
      <c r="E133" s="13"/>
      <c r="F133" s="13"/>
      <c r="G133" s="22"/>
      <c r="H133" s="22"/>
    </row>
    <row r="134" spans="2:8" x14ac:dyDescent="0.25">
      <c r="B134" s="9"/>
      <c r="C134" s="22"/>
      <c r="D134" s="22"/>
      <c r="E134" s="22"/>
      <c r="F134" s="22"/>
      <c r="G134" s="22"/>
      <c r="H134" s="22"/>
    </row>
    <row r="135" spans="2:8" x14ac:dyDescent="0.25">
      <c r="B135" s="9"/>
    </row>
    <row r="136" spans="2:8" x14ac:dyDescent="0.25">
      <c r="B136" s="9"/>
      <c r="C136" s="99"/>
      <c r="D136" s="99"/>
      <c r="E136" s="99"/>
      <c r="F136" s="99"/>
    </row>
    <row r="137" spans="2:8" x14ac:dyDescent="0.25">
      <c r="B137" s="10"/>
    </row>
    <row r="138" spans="2:8" x14ac:dyDescent="0.25">
      <c r="B138" s="6"/>
    </row>
    <row r="139" spans="2:8" x14ac:dyDescent="0.25">
      <c r="B139" s="6"/>
      <c r="C139" s="99"/>
      <c r="D139" s="99"/>
      <c r="E139" s="99"/>
      <c r="F139" s="99"/>
    </row>
    <row r="142" spans="2:8" x14ac:dyDescent="0.25">
      <c r="C142" s="99"/>
      <c r="D142" s="99"/>
      <c r="E142" s="99"/>
      <c r="F142" s="99"/>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G161"/>
  <sheetViews>
    <sheetView topLeftCell="A94" zoomScaleNormal="100" workbookViewId="0">
      <pane xSplit="2" topLeftCell="N1" activePane="topRight" state="frozen"/>
      <selection activeCell="A70" sqref="A70"/>
      <selection pane="topRight" activeCell="B1" sqref="B1"/>
    </sheetView>
  </sheetViews>
  <sheetFormatPr defaultColWidth="9" defaultRowHeight="15" x14ac:dyDescent="0.25"/>
  <cols>
    <col min="1" max="1" width="1.625" style="1" customWidth="1"/>
    <col min="2" max="2" width="25.375" style="1" customWidth="1"/>
    <col min="3" max="26" width="10" style="1" customWidth="1"/>
    <col min="27" max="16384" width="9" style="1"/>
  </cols>
  <sheetData>
    <row r="2" spans="2:26" ht="18.75" x14ac:dyDescent="0.3">
      <c r="B2" s="4" t="s">
        <v>315</v>
      </c>
    </row>
    <row r="3" spans="2:26" ht="18.75" x14ac:dyDescent="0.3">
      <c r="B3" s="4"/>
    </row>
    <row r="4" spans="2:26" ht="18.75" x14ac:dyDescent="0.3">
      <c r="B4" s="18" t="s">
        <v>107</v>
      </c>
      <c r="C4" s="186">
        <v>2014</v>
      </c>
      <c r="D4" s="186"/>
      <c r="E4" s="186"/>
      <c r="F4" s="186">
        <v>2015</v>
      </c>
      <c r="G4" s="186"/>
      <c r="H4" s="186"/>
      <c r="I4" s="186">
        <v>2016</v>
      </c>
      <c r="J4" s="186"/>
      <c r="K4" s="186"/>
      <c r="L4" s="186">
        <v>2017</v>
      </c>
      <c r="M4" s="186"/>
      <c r="N4" s="186"/>
      <c r="O4" s="186">
        <v>2018</v>
      </c>
      <c r="P4" s="186"/>
      <c r="Q4" s="186"/>
      <c r="R4" s="186">
        <v>2019</v>
      </c>
      <c r="S4" s="186"/>
      <c r="T4" s="186"/>
      <c r="U4" s="186">
        <v>2020</v>
      </c>
      <c r="V4" s="186"/>
      <c r="W4" s="186"/>
      <c r="X4" s="186">
        <v>2021</v>
      </c>
      <c r="Y4" s="186"/>
      <c r="Z4" s="186"/>
    </row>
    <row r="5" spans="2:26" ht="18.75" x14ac:dyDescent="0.3">
      <c r="B5" s="20"/>
      <c r="C5" s="53" t="s">
        <v>104</v>
      </c>
      <c r="D5" s="53" t="s">
        <v>105</v>
      </c>
      <c r="E5" s="53" t="s">
        <v>84</v>
      </c>
      <c r="F5" s="53" t="s">
        <v>104</v>
      </c>
      <c r="G5" s="53" t="s">
        <v>105</v>
      </c>
      <c r="H5" s="53" t="s">
        <v>84</v>
      </c>
      <c r="I5" s="53" t="s">
        <v>104</v>
      </c>
      <c r="J5" s="53" t="s">
        <v>105</v>
      </c>
      <c r="K5" s="53" t="s">
        <v>84</v>
      </c>
      <c r="L5" s="53" t="s">
        <v>104</v>
      </c>
      <c r="M5" s="53" t="s">
        <v>105</v>
      </c>
      <c r="N5" s="53" t="s">
        <v>84</v>
      </c>
      <c r="O5" s="53" t="s">
        <v>104</v>
      </c>
      <c r="P5" s="53" t="s">
        <v>105</v>
      </c>
      <c r="Q5" s="53" t="s">
        <v>84</v>
      </c>
      <c r="R5" s="53" t="s">
        <v>104</v>
      </c>
      <c r="S5" s="53" t="s">
        <v>105</v>
      </c>
      <c r="T5" s="53" t="s">
        <v>84</v>
      </c>
      <c r="U5" s="53" t="s">
        <v>104</v>
      </c>
      <c r="V5" s="53" t="s">
        <v>105</v>
      </c>
      <c r="W5" s="53" t="s">
        <v>84</v>
      </c>
      <c r="X5" s="53" t="s">
        <v>104</v>
      </c>
      <c r="Y5" s="53" t="s">
        <v>105</v>
      </c>
      <c r="Z5" s="53" t="s">
        <v>84</v>
      </c>
    </row>
    <row r="6" spans="2:26" x14ac:dyDescent="0.25">
      <c r="B6" s="54" t="s">
        <v>300</v>
      </c>
      <c r="C6" s="22"/>
      <c r="D6" s="22"/>
      <c r="E6" s="22"/>
      <c r="F6" s="22"/>
      <c r="G6" s="22"/>
      <c r="H6" s="22"/>
      <c r="I6" s="22"/>
      <c r="U6" s="154"/>
      <c r="V6" s="154"/>
      <c r="W6" s="154"/>
      <c r="X6" s="6"/>
      <c r="Y6" s="6"/>
      <c r="Z6" s="6"/>
    </row>
    <row r="7" spans="2:26" x14ac:dyDescent="0.25">
      <c r="B7" s="2" t="s">
        <v>93</v>
      </c>
      <c r="C7" s="55">
        <f t="shared" ref="C7" si="0">C23/C32*100</f>
        <v>8.5025980160604622</v>
      </c>
      <c r="D7" s="55">
        <f>D23/D32*100</f>
        <v>17.333333333333336</v>
      </c>
      <c r="E7" s="55">
        <f t="shared" ref="E7" si="1">E23/E32*100</f>
        <v>8.804744525547445</v>
      </c>
      <c r="F7" s="55">
        <f>F23/F32*100</f>
        <v>9.425403225806452</v>
      </c>
      <c r="G7" s="55">
        <f>G23/G32*100</f>
        <v>15.789473684210526</v>
      </c>
      <c r="H7" s="55">
        <f t="shared" ref="H7" si="2">H23/H32*100</f>
        <v>9.6031357177853991</v>
      </c>
      <c r="I7" s="55">
        <f>I23/I32*100</f>
        <v>8.6052009456264766</v>
      </c>
      <c r="J7" s="55">
        <f>J23/J32*100</f>
        <v>9.8901098901098905</v>
      </c>
      <c r="K7" s="55">
        <f t="shared" ref="K7" si="3">K23/K32*100</f>
        <v>8.6582048957388942</v>
      </c>
      <c r="L7" s="55">
        <f>L23/L32*100</f>
        <v>8</v>
      </c>
      <c r="M7" s="55">
        <f>M23/M32*100</f>
        <v>17.647058823529413</v>
      </c>
      <c r="N7" s="55">
        <f>N23/N32*100</f>
        <v>8.3061129258049462</v>
      </c>
      <c r="O7" s="55">
        <f t="shared" ref="O7:Q7" si="4">O23/O32*100</f>
        <v>7.8923357664233569</v>
      </c>
      <c r="P7" s="55">
        <f t="shared" si="4"/>
        <v>14.285714285714285</v>
      </c>
      <c r="Q7" s="55">
        <f t="shared" si="4"/>
        <v>8.0709534368070948</v>
      </c>
      <c r="R7" s="55">
        <f>R23/2340*100</f>
        <v>7.3931623931623935</v>
      </c>
      <c r="S7" s="100">
        <f>+S23/84*100</f>
        <v>14.285714285714285</v>
      </c>
      <c r="T7" s="100">
        <f>+T23/2424*100</f>
        <v>7.6320132013201309</v>
      </c>
      <c r="U7" s="55">
        <f>U23/2397*100</f>
        <v>7.3425114726741763</v>
      </c>
      <c r="V7" s="100">
        <f>+V23/107*100</f>
        <v>10.2803738317757</v>
      </c>
      <c r="W7" s="100">
        <f>+W23/2504*100</f>
        <v>7.4680511182108624</v>
      </c>
      <c r="X7" s="57">
        <f>+X23/$X$17*100</f>
        <v>7.1512770137524564</v>
      </c>
      <c r="Y7" s="162">
        <f>+Y23/$Y$17*100</f>
        <v>7.2727272727272725</v>
      </c>
      <c r="Z7" s="162">
        <f>+Z23/$Z$17*100</f>
        <v>7.1563088512241055</v>
      </c>
    </row>
    <row r="8" spans="2:26" x14ac:dyDescent="0.25">
      <c r="B8" s="2" t="s">
        <v>94</v>
      </c>
      <c r="C8" s="55">
        <f t="shared" ref="C8" si="5">C24/C32*100</f>
        <v>16.580066131317903</v>
      </c>
      <c r="D8" s="55">
        <f>D24/D32*100</f>
        <v>17.333333333333336</v>
      </c>
      <c r="E8" s="55">
        <f t="shared" ref="E8:F8" si="6">E24/E32*100</f>
        <v>16.605839416058394</v>
      </c>
      <c r="F8" s="55">
        <f t="shared" si="6"/>
        <v>15.37298387096774</v>
      </c>
      <c r="G8" s="55">
        <f>G24/G32*100</f>
        <v>28.07017543859649</v>
      </c>
      <c r="H8" s="55">
        <f t="shared" ref="H8:I8" si="7">H24/H32*100</f>
        <v>15.727584517393433</v>
      </c>
      <c r="I8" s="55">
        <f t="shared" si="7"/>
        <v>16.40661938534279</v>
      </c>
      <c r="J8" s="55">
        <f>J24/J32*100</f>
        <v>16.483516483516482</v>
      </c>
      <c r="K8" s="55">
        <f t="shared" ref="K8:L8" si="8">K24/K32*100</f>
        <v>16.409791477787852</v>
      </c>
      <c r="L8" s="55">
        <f t="shared" si="8"/>
        <v>15.614457831325302</v>
      </c>
      <c r="M8" s="55">
        <f>M24/M32*100</f>
        <v>23.52941176470588</v>
      </c>
      <c r="N8" s="55">
        <f>N24/N32*100</f>
        <v>15.865608959402708</v>
      </c>
      <c r="O8" s="55">
        <f t="shared" ref="O8:Q8" si="9">O24/O32*100</f>
        <v>17.335766423357665</v>
      </c>
      <c r="P8" s="55">
        <f t="shared" si="9"/>
        <v>22.222222222222221</v>
      </c>
      <c r="Q8" s="55">
        <f t="shared" si="9"/>
        <v>17.472283813747229</v>
      </c>
      <c r="R8" s="55">
        <f t="shared" ref="R8:R15" si="10">R24/2340*100</f>
        <v>16.153846153846153</v>
      </c>
      <c r="S8" s="55">
        <f>S24/S32*100</f>
        <v>21.428571428571427</v>
      </c>
      <c r="T8" s="100">
        <f t="shared" ref="T8:T15" si="11">+T24/2424*100</f>
        <v>16.336633663366339</v>
      </c>
      <c r="U8" s="55">
        <f t="shared" ref="U8:U16" si="12">U24/2397*100</f>
        <v>17.855652899457656</v>
      </c>
      <c r="V8" s="100">
        <f t="shared" ref="V8:V16" si="13">+V24/107*100</f>
        <v>23.364485981308412</v>
      </c>
      <c r="W8" s="100">
        <f t="shared" ref="W8:W16" si="14">+W24/2504*100</f>
        <v>18.091054313099043</v>
      </c>
      <c r="X8" s="57">
        <f t="shared" ref="X8:X15" si="15">+X24/$X$17*100</f>
        <v>16.463654223968565</v>
      </c>
      <c r="Y8" s="162">
        <f t="shared" ref="Y8:Y15" si="16">+Y24/$Y$17*100</f>
        <v>18.181818181818183</v>
      </c>
      <c r="Z8" s="162">
        <f t="shared" ref="Z8:Z15" si="17">+Z24/$Z$17*100</f>
        <v>16.534839924670433</v>
      </c>
    </row>
    <row r="9" spans="2:26" x14ac:dyDescent="0.25">
      <c r="B9" s="2" t="s">
        <v>95</v>
      </c>
      <c r="C9" s="55">
        <f t="shared" ref="C9:M9" si="18">C25/C32*100</f>
        <v>24.988190836088805</v>
      </c>
      <c r="D9" s="55">
        <f t="shared" si="18"/>
        <v>26.666666666666668</v>
      </c>
      <c r="E9" s="55">
        <f t="shared" si="18"/>
        <v>25.045620437956206</v>
      </c>
      <c r="F9" s="55">
        <f t="shared" si="18"/>
        <v>24.596774193548388</v>
      </c>
      <c r="G9" s="55">
        <f t="shared" si="18"/>
        <v>15.789473684210526</v>
      </c>
      <c r="H9" s="55">
        <f t="shared" si="18"/>
        <v>24.350808427241549</v>
      </c>
      <c r="I9" s="55">
        <f t="shared" si="18"/>
        <v>24.964539007092199</v>
      </c>
      <c r="J9" s="55">
        <f t="shared" si="18"/>
        <v>16.483516483516482</v>
      </c>
      <c r="K9" s="55">
        <f t="shared" si="18"/>
        <v>24.614687216681777</v>
      </c>
      <c r="L9" s="55">
        <f t="shared" si="18"/>
        <v>25.204819277108431</v>
      </c>
      <c r="M9" s="55">
        <f t="shared" si="18"/>
        <v>17.647058823529413</v>
      </c>
      <c r="N9" s="55">
        <f t="shared" ref="N9:Q9" si="19">N25/N32*100</f>
        <v>24.965002333177789</v>
      </c>
      <c r="O9" s="55">
        <f t="shared" si="19"/>
        <v>23.220802919708028</v>
      </c>
      <c r="P9" s="55">
        <f t="shared" si="19"/>
        <v>19.047619047619047</v>
      </c>
      <c r="Q9" s="55">
        <f t="shared" si="19"/>
        <v>23.104212860310422</v>
      </c>
      <c r="R9" s="55">
        <f t="shared" si="10"/>
        <v>23.717948717948715</v>
      </c>
      <c r="S9" s="55">
        <f t="shared" ref="S9" si="20">S25/S32*100</f>
        <v>11.904761904761903</v>
      </c>
      <c r="T9" s="100">
        <f t="shared" si="11"/>
        <v>23.308580858085808</v>
      </c>
      <c r="U9" s="55">
        <f t="shared" si="12"/>
        <v>25.490196078431371</v>
      </c>
      <c r="V9" s="100">
        <f t="shared" si="13"/>
        <v>18.691588785046729</v>
      </c>
      <c r="W9" s="100">
        <f t="shared" si="14"/>
        <v>25.199680511182109</v>
      </c>
      <c r="X9" s="57">
        <f t="shared" si="15"/>
        <v>28.290766208251473</v>
      </c>
      <c r="Y9" s="162">
        <f t="shared" si="16"/>
        <v>32.727272727272727</v>
      </c>
      <c r="Z9" s="162">
        <f t="shared" si="17"/>
        <v>28.474576271186443</v>
      </c>
    </row>
    <row r="10" spans="2:26" x14ac:dyDescent="0.25">
      <c r="B10" s="2" t="s">
        <v>96</v>
      </c>
      <c r="C10" s="55">
        <f t="shared" ref="C10:M10" si="21">C26/C32*100</f>
        <v>13.226263580538497</v>
      </c>
      <c r="D10" s="55">
        <f t="shared" si="21"/>
        <v>8</v>
      </c>
      <c r="E10" s="55">
        <f t="shared" si="21"/>
        <v>13.047445255474452</v>
      </c>
      <c r="F10" s="55">
        <f t="shared" si="21"/>
        <v>11.945564516129032</v>
      </c>
      <c r="G10" s="55">
        <f t="shared" si="21"/>
        <v>7.0175438596491224</v>
      </c>
      <c r="H10" s="55">
        <f t="shared" si="21"/>
        <v>11.807937285644291</v>
      </c>
      <c r="I10" s="55">
        <f t="shared" si="21"/>
        <v>11.536643026004729</v>
      </c>
      <c r="J10" s="55">
        <f t="shared" si="21"/>
        <v>9.8901098901098905</v>
      </c>
      <c r="K10" s="55">
        <f t="shared" si="21"/>
        <v>11.468721668177698</v>
      </c>
      <c r="L10" s="55">
        <f t="shared" si="21"/>
        <v>11.27710843373494</v>
      </c>
      <c r="M10" s="55">
        <f t="shared" si="21"/>
        <v>13.23529411764706</v>
      </c>
      <c r="N10" s="55">
        <f>N26/N32*100</f>
        <v>11.339244050396641</v>
      </c>
      <c r="O10" s="55">
        <f t="shared" ref="O10:Q10" si="22">O26/O32*100</f>
        <v>9.7627737226277382</v>
      </c>
      <c r="P10" s="55">
        <f t="shared" si="22"/>
        <v>0</v>
      </c>
      <c r="Q10" s="55">
        <f t="shared" si="22"/>
        <v>9.4900221729490024</v>
      </c>
      <c r="R10" s="55">
        <f t="shared" si="10"/>
        <v>9.1452991452991448</v>
      </c>
      <c r="S10" s="55">
        <f t="shared" ref="S10" si="23">S26/S32*100</f>
        <v>8.3333333333333321</v>
      </c>
      <c r="T10" s="100">
        <f t="shared" si="11"/>
        <v>9.1171617161716156</v>
      </c>
      <c r="U10" s="55">
        <f t="shared" si="12"/>
        <v>7.1339173967459324</v>
      </c>
      <c r="V10" s="155">
        <f t="shared" si="13"/>
        <v>8.4112149532710276</v>
      </c>
      <c r="W10" s="155">
        <f t="shared" si="14"/>
        <v>7.1884984025559113</v>
      </c>
      <c r="X10" s="57">
        <f t="shared" si="15"/>
        <v>7.1905697445972496</v>
      </c>
      <c r="Y10" s="162">
        <f t="shared" si="16"/>
        <v>6.3636363636363633</v>
      </c>
      <c r="Z10" s="162">
        <f t="shared" si="17"/>
        <v>7.1563088512241055</v>
      </c>
    </row>
    <row r="11" spans="2:26" x14ac:dyDescent="0.25">
      <c r="B11" s="2" t="s">
        <v>97</v>
      </c>
      <c r="C11" s="55">
        <f t="shared" ref="C11:N11" si="24">C27/C32*100</f>
        <v>11.809163911195087</v>
      </c>
      <c r="D11" s="55">
        <f t="shared" si="24"/>
        <v>4</v>
      </c>
      <c r="E11" s="55">
        <f t="shared" si="24"/>
        <v>11.541970802919709</v>
      </c>
      <c r="F11" s="55">
        <f t="shared" si="24"/>
        <v>10.28225806451613</v>
      </c>
      <c r="G11" s="55">
        <f t="shared" si="24"/>
        <v>7.0175438596491224</v>
      </c>
      <c r="H11" s="55">
        <f t="shared" si="24"/>
        <v>10.191082802547772</v>
      </c>
      <c r="I11" s="55">
        <f t="shared" si="24"/>
        <v>9.9290780141843982</v>
      </c>
      <c r="J11" s="55">
        <f t="shared" si="24"/>
        <v>9.8901098901098905</v>
      </c>
      <c r="K11" s="55">
        <f t="shared" si="24"/>
        <v>9.9274705349048045</v>
      </c>
      <c r="L11" s="55">
        <f t="shared" si="24"/>
        <v>8.3373493975903621</v>
      </c>
      <c r="M11" s="55">
        <f t="shared" si="24"/>
        <v>4.4117647058823533</v>
      </c>
      <c r="N11" s="55">
        <f t="shared" si="24"/>
        <v>8.212785814279048</v>
      </c>
      <c r="O11" s="55">
        <f t="shared" ref="O11:Q11" si="25">O27/O32*100</f>
        <v>6.7518248175182478</v>
      </c>
      <c r="P11" s="55">
        <f t="shared" si="25"/>
        <v>4.7619047619047619</v>
      </c>
      <c r="Q11" s="55">
        <f t="shared" si="25"/>
        <v>6.6962305986696222</v>
      </c>
      <c r="R11" s="55">
        <f t="shared" si="10"/>
        <v>6.2393162393162394</v>
      </c>
      <c r="S11" s="55">
        <f t="shared" ref="S11" si="26">S27/S32*100</f>
        <v>1.1904761904761905</v>
      </c>
      <c r="T11" s="100">
        <f t="shared" si="11"/>
        <v>6.064356435643564</v>
      </c>
      <c r="U11" s="57">
        <f t="shared" si="12"/>
        <v>5.632040050062578</v>
      </c>
      <c r="V11" s="162">
        <f t="shared" si="13"/>
        <v>6.5420560747663545</v>
      </c>
      <c r="W11" s="162">
        <f t="shared" si="14"/>
        <v>5.6709265175718855</v>
      </c>
      <c r="X11" s="57">
        <f t="shared" si="15"/>
        <v>5.7367387033398822</v>
      </c>
      <c r="Y11" s="162">
        <f t="shared" si="16"/>
        <v>8.1818181818181817</v>
      </c>
      <c r="Z11" s="162">
        <f t="shared" si="17"/>
        <v>5.8380414312617699</v>
      </c>
    </row>
    <row r="12" spans="2:26" x14ac:dyDescent="0.25">
      <c r="B12" s="2" t="s">
        <v>98</v>
      </c>
      <c r="C12" s="55">
        <f t="shared" ref="C12:N12" si="27">C28/C32*100</f>
        <v>6.7548417572035904</v>
      </c>
      <c r="D12" s="55">
        <f t="shared" si="27"/>
        <v>4</v>
      </c>
      <c r="E12" s="55">
        <f t="shared" si="27"/>
        <v>6.6605839416058394</v>
      </c>
      <c r="F12" s="55">
        <f t="shared" si="27"/>
        <v>8.0141129032258061</v>
      </c>
      <c r="G12" s="55">
        <f t="shared" si="27"/>
        <v>3.5087719298245612</v>
      </c>
      <c r="H12" s="55">
        <f t="shared" si="27"/>
        <v>7.8882900538951501</v>
      </c>
      <c r="I12" s="55">
        <f t="shared" si="27"/>
        <v>7.5650118203309695</v>
      </c>
      <c r="J12" s="55">
        <f t="shared" si="27"/>
        <v>2.197802197802198</v>
      </c>
      <c r="K12" s="55">
        <f t="shared" si="27"/>
        <v>7.3436083408884851</v>
      </c>
      <c r="L12" s="55">
        <f t="shared" si="27"/>
        <v>8.240963855421688</v>
      </c>
      <c r="M12" s="55">
        <f t="shared" si="27"/>
        <v>1.4705882352941175</v>
      </c>
      <c r="N12" s="55">
        <f t="shared" si="27"/>
        <v>8.0261315912272515</v>
      </c>
      <c r="O12" s="55">
        <f t="shared" ref="O12:Q12" si="28">O28/O32*100</f>
        <v>9.4890510948905096</v>
      </c>
      <c r="P12" s="55">
        <f t="shared" si="28"/>
        <v>7.9365079365079358</v>
      </c>
      <c r="Q12" s="55">
        <f t="shared" si="28"/>
        <v>9.4456762749445673</v>
      </c>
      <c r="R12" s="55">
        <f t="shared" si="10"/>
        <v>10.17094017094017</v>
      </c>
      <c r="S12" s="55">
        <f t="shared" ref="S12" si="29">S28/S32*100</f>
        <v>7.1428571428571423</v>
      </c>
      <c r="T12" s="100">
        <f t="shared" si="11"/>
        <v>10.066006600660065</v>
      </c>
      <c r="U12" s="57">
        <f t="shared" si="12"/>
        <v>8.468919482686692</v>
      </c>
      <c r="V12" s="162">
        <f t="shared" si="13"/>
        <v>5.6074766355140184</v>
      </c>
      <c r="W12" s="162">
        <f t="shared" si="14"/>
        <v>8.3466453674121404</v>
      </c>
      <c r="X12" s="57">
        <f t="shared" si="15"/>
        <v>9.6267190569744603</v>
      </c>
      <c r="Y12" s="162">
        <f t="shared" si="16"/>
        <v>3.6363636363636362</v>
      </c>
      <c r="Z12" s="162">
        <f t="shared" si="17"/>
        <v>9.3785310734463287</v>
      </c>
    </row>
    <row r="13" spans="2:26" x14ac:dyDescent="0.25">
      <c r="B13" s="2" t="s">
        <v>99</v>
      </c>
      <c r="C13" s="55">
        <f t="shared" ref="C13:N13" si="30">C29/C32*100</f>
        <v>3.3065658951346242</v>
      </c>
      <c r="D13" s="55">
        <f t="shared" si="30"/>
        <v>9.3333333333333339</v>
      </c>
      <c r="E13" s="55">
        <f t="shared" si="30"/>
        <v>3.5127737226277369</v>
      </c>
      <c r="F13" s="55">
        <f t="shared" si="30"/>
        <v>3.2762096774193545</v>
      </c>
      <c r="G13" s="55">
        <f t="shared" si="30"/>
        <v>7.0175438596491224</v>
      </c>
      <c r="H13" s="55">
        <f t="shared" si="30"/>
        <v>3.3806957373836357</v>
      </c>
      <c r="I13" s="55">
        <f t="shared" si="30"/>
        <v>3.2624113475177303</v>
      </c>
      <c r="J13" s="55">
        <f t="shared" si="30"/>
        <v>9.8901098901098905</v>
      </c>
      <c r="K13" s="55">
        <f t="shared" si="30"/>
        <v>3.5358114233907529</v>
      </c>
      <c r="L13" s="55">
        <f t="shared" si="30"/>
        <v>3.2289156626506026</v>
      </c>
      <c r="M13" s="55">
        <f t="shared" si="30"/>
        <v>4.4117647058823533</v>
      </c>
      <c r="N13" s="55">
        <f t="shared" si="30"/>
        <v>3.2664489034064395</v>
      </c>
      <c r="O13" s="55">
        <f t="shared" ref="O13:Q13" si="31">O29/O32*100</f>
        <v>3.1934306569343067</v>
      </c>
      <c r="P13" s="55">
        <f t="shared" si="31"/>
        <v>9.5238095238095237</v>
      </c>
      <c r="Q13" s="55">
        <f t="shared" si="31"/>
        <v>3.3702882483370291</v>
      </c>
      <c r="R13" s="55">
        <f t="shared" si="10"/>
        <v>2.6068376068376069</v>
      </c>
      <c r="S13" s="55">
        <f t="shared" ref="S13" si="32">S29/S32*100</f>
        <v>3.5714285714285712</v>
      </c>
      <c r="T13" s="100">
        <f t="shared" si="11"/>
        <v>2.6402640264026402</v>
      </c>
      <c r="U13" s="57">
        <f t="shared" si="12"/>
        <v>2.3362536503963289</v>
      </c>
      <c r="V13" s="162">
        <f t="shared" si="13"/>
        <v>4.6728971962616823</v>
      </c>
      <c r="W13" s="162">
        <f t="shared" si="14"/>
        <v>2.4361022364217253</v>
      </c>
      <c r="X13" s="57">
        <f t="shared" si="15"/>
        <v>3.8113948919449898</v>
      </c>
      <c r="Y13" s="162">
        <f t="shared" si="16"/>
        <v>6.3636363636363633</v>
      </c>
      <c r="Z13" s="162">
        <f t="shared" si="17"/>
        <v>3.9171374764595104</v>
      </c>
    </row>
    <row r="14" spans="2:26" x14ac:dyDescent="0.25">
      <c r="B14" s="2" t="s">
        <v>100</v>
      </c>
      <c r="C14" s="55">
        <f t="shared" ref="C14:N14" si="33">C30/C32*100</f>
        <v>2.5507794048181389</v>
      </c>
      <c r="D14" s="55">
        <f t="shared" si="33"/>
        <v>1.3333333333333335</v>
      </c>
      <c r="E14" s="55">
        <f t="shared" si="33"/>
        <v>2.5091240875912408</v>
      </c>
      <c r="F14" s="55">
        <f t="shared" si="33"/>
        <v>3.477822580645161</v>
      </c>
      <c r="G14" s="55">
        <f t="shared" si="33"/>
        <v>1.7543859649122806</v>
      </c>
      <c r="H14" s="55">
        <f t="shared" si="33"/>
        <v>3.4296913277805001</v>
      </c>
      <c r="I14" s="55">
        <f t="shared" si="33"/>
        <v>3.3569739952718676</v>
      </c>
      <c r="J14" s="55">
        <f t="shared" si="33"/>
        <v>3.296703296703297</v>
      </c>
      <c r="K14" s="55">
        <f t="shared" si="33"/>
        <v>3.3544877606527654</v>
      </c>
      <c r="L14" s="55">
        <f t="shared" si="33"/>
        <v>3.2771084337349397</v>
      </c>
      <c r="M14" s="55">
        <f t="shared" si="33"/>
        <v>1.4705882352941175</v>
      </c>
      <c r="N14" s="55">
        <f t="shared" si="33"/>
        <v>3.2197853476434903</v>
      </c>
      <c r="O14" s="55">
        <f t="shared" ref="O14:Q14" si="34">O30/O32*100</f>
        <v>2.5547445255474455</v>
      </c>
      <c r="P14" s="55">
        <f t="shared" si="34"/>
        <v>1.5873015873015872</v>
      </c>
      <c r="Q14" s="55">
        <f t="shared" si="34"/>
        <v>2.5277161862527717</v>
      </c>
      <c r="R14" s="55">
        <f t="shared" si="10"/>
        <v>2.8632478632478633</v>
      </c>
      <c r="S14" s="55">
        <f t="shared" ref="S14" si="35">S30/S32*100</f>
        <v>3.5714285714285712</v>
      </c>
      <c r="T14" s="100">
        <f t="shared" si="11"/>
        <v>2.8877887788778875</v>
      </c>
      <c r="U14" s="55">
        <f t="shared" si="12"/>
        <v>2.9203170629954109</v>
      </c>
      <c r="V14" s="155">
        <f t="shared" si="13"/>
        <v>2.8037383177570092</v>
      </c>
      <c r="W14" s="155">
        <f t="shared" si="14"/>
        <v>2.9153354632587858</v>
      </c>
      <c r="X14" s="57">
        <f t="shared" si="15"/>
        <v>2.161100196463654</v>
      </c>
      <c r="Y14" s="162">
        <f t="shared" si="16"/>
        <v>0</v>
      </c>
      <c r="Z14" s="162">
        <f t="shared" si="17"/>
        <v>2.0715630885122414</v>
      </c>
    </row>
    <row r="15" spans="2:26" x14ac:dyDescent="0.25">
      <c r="B15" s="2" t="s">
        <v>101</v>
      </c>
      <c r="C15" s="55">
        <f t="shared" ref="C15:N15" si="36">C31/C32*100</f>
        <v>12.281530467642892</v>
      </c>
      <c r="D15" s="55">
        <f t="shared" si="36"/>
        <v>12</v>
      </c>
      <c r="E15" s="55">
        <f t="shared" si="36"/>
        <v>12.271897810218977</v>
      </c>
      <c r="F15" s="55">
        <f t="shared" si="36"/>
        <v>13.608870967741934</v>
      </c>
      <c r="G15" s="55">
        <f t="shared" si="36"/>
        <v>14.035087719298245</v>
      </c>
      <c r="H15" s="55">
        <f t="shared" si="36"/>
        <v>13.62077413032827</v>
      </c>
      <c r="I15" s="55">
        <f t="shared" si="36"/>
        <v>14.373522458628843</v>
      </c>
      <c r="J15" s="55">
        <f t="shared" si="36"/>
        <v>21.978021978021978</v>
      </c>
      <c r="K15" s="55">
        <f t="shared" si="36"/>
        <v>14.68721668177697</v>
      </c>
      <c r="L15" s="55">
        <f t="shared" si="36"/>
        <v>16.819277108433734</v>
      </c>
      <c r="M15" s="55">
        <f t="shared" si="36"/>
        <v>16.176470588235293</v>
      </c>
      <c r="N15" s="55">
        <f t="shared" si="36"/>
        <v>16.798880074661689</v>
      </c>
      <c r="O15" s="55">
        <f t="shared" ref="O15:Q15" si="37">O31/O32*100</f>
        <v>19.799270072992702</v>
      </c>
      <c r="P15" s="55">
        <f t="shared" si="37"/>
        <v>20.634920634920633</v>
      </c>
      <c r="Q15" s="55">
        <f t="shared" si="37"/>
        <v>19.82261640798226</v>
      </c>
      <c r="R15" s="55">
        <f t="shared" si="10"/>
        <v>21.70940170940171</v>
      </c>
      <c r="S15" s="55">
        <f t="shared" ref="S15" si="38">S31/S32*100</f>
        <v>28.571428571428569</v>
      </c>
      <c r="T15" s="100">
        <f t="shared" si="11"/>
        <v>21.947194719471945</v>
      </c>
      <c r="U15" s="55">
        <f t="shared" si="12"/>
        <v>22.820191906549852</v>
      </c>
      <c r="V15" s="100">
        <f t="shared" si="13"/>
        <v>19.626168224299064</v>
      </c>
      <c r="W15" s="100">
        <f t="shared" si="14"/>
        <v>22.683706070287542</v>
      </c>
      <c r="X15" s="57">
        <f t="shared" si="15"/>
        <v>19.56777996070727</v>
      </c>
      <c r="Y15" s="162">
        <f t="shared" si="16"/>
        <v>17.272727272727273</v>
      </c>
      <c r="Z15" s="162">
        <f t="shared" si="17"/>
        <v>19.472693032015066</v>
      </c>
    </row>
    <row r="16" spans="2:26" x14ac:dyDescent="0.25">
      <c r="B16" s="17" t="s">
        <v>102</v>
      </c>
      <c r="C16" s="130">
        <f t="shared" ref="C16:N16" si="39">SUM(C7:C15)</f>
        <v>100.00000000000001</v>
      </c>
      <c r="D16" s="130">
        <f t="shared" si="39"/>
        <v>100</v>
      </c>
      <c r="E16" s="130">
        <f t="shared" si="39"/>
        <v>100</v>
      </c>
      <c r="F16" s="130">
        <f t="shared" si="39"/>
        <v>100.00000000000001</v>
      </c>
      <c r="G16" s="130">
        <f t="shared" si="39"/>
        <v>99.999999999999986</v>
      </c>
      <c r="H16" s="130">
        <f t="shared" si="39"/>
        <v>100</v>
      </c>
      <c r="I16" s="130">
        <f t="shared" si="39"/>
        <v>100</v>
      </c>
      <c r="J16" s="130">
        <f t="shared" si="39"/>
        <v>100</v>
      </c>
      <c r="K16" s="130">
        <f t="shared" si="39"/>
        <v>100</v>
      </c>
      <c r="L16" s="130">
        <f t="shared" si="39"/>
        <v>100</v>
      </c>
      <c r="M16" s="130">
        <f t="shared" si="39"/>
        <v>99.999999999999986</v>
      </c>
      <c r="N16" s="130">
        <f t="shared" si="39"/>
        <v>100</v>
      </c>
      <c r="O16" s="130">
        <f t="shared" ref="O16:Q16" si="40">SUM(O7:O15)</f>
        <v>100.00000000000001</v>
      </c>
      <c r="P16" s="130">
        <f t="shared" si="40"/>
        <v>99.999999999999986</v>
      </c>
      <c r="Q16" s="130">
        <f t="shared" si="40"/>
        <v>100</v>
      </c>
      <c r="R16" s="55">
        <f>SUM(R7:R15)</f>
        <v>100</v>
      </c>
      <c r="S16" s="130">
        <f t="shared" ref="S16:T16" si="41">SUM(S7:S15)</f>
        <v>99.999999999999986</v>
      </c>
      <c r="T16" s="130">
        <f t="shared" si="41"/>
        <v>100</v>
      </c>
      <c r="U16" s="55">
        <f t="shared" si="12"/>
        <v>100</v>
      </c>
      <c r="V16" s="100">
        <f t="shared" si="13"/>
        <v>100</v>
      </c>
      <c r="W16" s="100">
        <f t="shared" si="14"/>
        <v>100</v>
      </c>
      <c r="X16" s="57">
        <v>100</v>
      </c>
      <c r="Y16" s="162">
        <f>SUM(Y7:Y15)</f>
        <v>100</v>
      </c>
      <c r="Z16" s="162">
        <f>SUM(Z7:Z15)</f>
        <v>100</v>
      </c>
    </row>
    <row r="17" spans="2:27" x14ac:dyDescent="0.25">
      <c r="B17" s="2" t="s">
        <v>103</v>
      </c>
      <c r="C17" s="56">
        <f>C32</f>
        <v>2117</v>
      </c>
      <c r="D17" s="55">
        <f t="shared" ref="D17:N17" si="42">D32</f>
        <v>75</v>
      </c>
      <c r="E17" s="56">
        <f t="shared" si="42"/>
        <v>2192</v>
      </c>
      <c r="F17" s="56">
        <f t="shared" si="42"/>
        <v>1984</v>
      </c>
      <c r="G17" s="55">
        <f t="shared" si="42"/>
        <v>57</v>
      </c>
      <c r="H17" s="56">
        <f t="shared" si="42"/>
        <v>2041</v>
      </c>
      <c r="I17" s="56">
        <f t="shared" si="42"/>
        <v>2115</v>
      </c>
      <c r="J17" s="55">
        <f t="shared" si="42"/>
        <v>91</v>
      </c>
      <c r="K17" s="56">
        <f t="shared" si="42"/>
        <v>2206</v>
      </c>
      <c r="L17" s="56">
        <f t="shared" si="42"/>
        <v>2075</v>
      </c>
      <c r="M17" s="55">
        <f t="shared" si="42"/>
        <v>68</v>
      </c>
      <c r="N17" s="56">
        <f t="shared" si="42"/>
        <v>2143</v>
      </c>
      <c r="O17" s="13">
        <v>2192</v>
      </c>
      <c r="P17" s="13">
        <v>63</v>
      </c>
      <c r="Q17" s="13">
        <v>2255</v>
      </c>
      <c r="R17" s="56">
        <f>R32</f>
        <v>2340</v>
      </c>
      <c r="S17" s="55">
        <v>83</v>
      </c>
      <c r="T17" s="56">
        <f>T32</f>
        <v>2424</v>
      </c>
      <c r="U17" s="55">
        <v>2397</v>
      </c>
      <c r="V17" s="56">
        <v>107</v>
      </c>
      <c r="W17" s="56">
        <v>2504</v>
      </c>
      <c r="X17" s="58">
        <v>2545</v>
      </c>
      <c r="Y17" s="178">
        <v>110</v>
      </c>
      <c r="Z17" s="179">
        <f>SUM(X17:Y17)</f>
        <v>2655</v>
      </c>
    </row>
    <row r="18" spans="2:27" x14ac:dyDescent="0.25">
      <c r="B18" s="41"/>
      <c r="C18" s="3"/>
      <c r="D18" s="3"/>
      <c r="E18" s="3"/>
      <c r="F18" s="3"/>
      <c r="G18" s="3"/>
      <c r="H18" s="3"/>
      <c r="I18" s="3"/>
      <c r="J18" s="3"/>
      <c r="K18" s="3"/>
      <c r="L18" s="3"/>
      <c r="M18" s="3"/>
      <c r="N18" s="3"/>
      <c r="Q18" s="2"/>
      <c r="R18" s="2"/>
      <c r="S18" s="2"/>
      <c r="T18" s="2"/>
      <c r="U18" s="156"/>
      <c r="V18" s="156"/>
      <c r="W18" s="156"/>
      <c r="X18" s="180"/>
      <c r="Y18" s="180"/>
      <c r="Z18" s="180"/>
    </row>
    <row r="19" spans="2:27" x14ac:dyDescent="0.25">
      <c r="B19" s="91" t="s">
        <v>280</v>
      </c>
      <c r="C19" s="3"/>
      <c r="D19" s="3"/>
      <c r="E19" s="3"/>
      <c r="F19" s="3"/>
      <c r="G19" s="3"/>
      <c r="H19" s="3"/>
      <c r="I19" s="3"/>
      <c r="J19" s="3"/>
      <c r="K19" s="3"/>
      <c r="L19" s="3"/>
      <c r="M19" s="3"/>
      <c r="N19" s="3"/>
      <c r="Q19" s="2"/>
      <c r="R19" s="2"/>
      <c r="S19" s="2"/>
      <c r="T19" s="2"/>
      <c r="U19" s="2"/>
      <c r="V19" s="2"/>
      <c r="W19" s="2"/>
      <c r="X19" s="28"/>
      <c r="Y19" s="28"/>
      <c r="Z19" s="28"/>
    </row>
    <row r="20" spans="2:27" x14ac:dyDescent="0.25">
      <c r="B20" s="14"/>
      <c r="C20" s="3"/>
      <c r="D20" s="3"/>
      <c r="E20" s="3"/>
      <c r="F20" s="3"/>
      <c r="G20" s="3"/>
      <c r="H20" s="3"/>
      <c r="I20" s="3"/>
      <c r="J20" s="3"/>
      <c r="K20" s="3"/>
      <c r="L20" s="3"/>
      <c r="M20" s="3"/>
      <c r="N20" s="3"/>
      <c r="Q20" s="2"/>
      <c r="R20" s="2"/>
      <c r="S20" s="2"/>
      <c r="T20" s="2"/>
      <c r="U20" s="2"/>
      <c r="V20" s="2"/>
      <c r="W20" s="2"/>
      <c r="X20" s="28"/>
      <c r="Y20" s="28"/>
      <c r="Z20" s="28"/>
    </row>
    <row r="21" spans="2:27" x14ac:dyDescent="0.25">
      <c r="B21" s="14"/>
      <c r="C21" s="3"/>
      <c r="D21" s="3"/>
      <c r="E21" s="3"/>
      <c r="F21" s="3"/>
      <c r="G21" s="3"/>
      <c r="H21" s="3"/>
      <c r="I21" s="3"/>
      <c r="J21" s="3"/>
      <c r="K21" s="3"/>
      <c r="L21" s="3"/>
      <c r="M21" s="3"/>
      <c r="N21" s="3"/>
      <c r="Q21" s="2"/>
      <c r="R21" s="2"/>
      <c r="S21" s="2"/>
      <c r="T21" s="2"/>
      <c r="U21" s="2"/>
      <c r="V21" s="2"/>
      <c r="W21" s="2"/>
      <c r="X21" s="28"/>
      <c r="Y21" s="28"/>
      <c r="Z21" s="28"/>
    </row>
    <row r="22" spans="2:27" x14ac:dyDescent="0.25">
      <c r="B22" s="54" t="s">
        <v>106</v>
      </c>
      <c r="C22" s="3"/>
      <c r="D22" s="3"/>
      <c r="E22" s="3"/>
      <c r="F22" s="3"/>
      <c r="G22" s="3"/>
      <c r="H22" s="3"/>
      <c r="I22" s="3"/>
      <c r="J22" s="3"/>
      <c r="K22" s="3"/>
      <c r="L22" s="3"/>
      <c r="M22" s="3"/>
      <c r="N22" s="3"/>
      <c r="Q22" s="2"/>
      <c r="R22" s="2"/>
      <c r="S22" s="2"/>
      <c r="T22" s="2"/>
      <c r="U22" s="2"/>
      <c r="V22" s="2"/>
      <c r="W22" s="2"/>
      <c r="X22" s="28"/>
      <c r="Y22" s="28"/>
      <c r="Z22" s="28"/>
    </row>
    <row r="23" spans="2:27" x14ac:dyDescent="0.25">
      <c r="B23" s="2" t="s">
        <v>93</v>
      </c>
      <c r="C23" s="57">
        <v>180</v>
      </c>
      <c r="D23" s="57">
        <v>13</v>
      </c>
      <c r="E23" s="57">
        <v>193</v>
      </c>
      <c r="F23" s="57">
        <v>187</v>
      </c>
      <c r="G23" s="57">
        <v>9</v>
      </c>
      <c r="H23" s="57">
        <v>196</v>
      </c>
      <c r="I23" s="57">
        <v>182</v>
      </c>
      <c r="J23" s="57">
        <v>9</v>
      </c>
      <c r="K23" s="57">
        <v>191</v>
      </c>
      <c r="L23" s="57">
        <v>166</v>
      </c>
      <c r="M23" s="57">
        <v>12</v>
      </c>
      <c r="N23" s="57">
        <v>178</v>
      </c>
      <c r="O23" s="2">
        <v>173</v>
      </c>
      <c r="P23" s="2">
        <v>9</v>
      </c>
      <c r="Q23" s="2">
        <v>182</v>
      </c>
      <c r="R23" s="55">
        <v>173</v>
      </c>
      <c r="S23" s="55">
        <v>12</v>
      </c>
      <c r="T23" s="55">
        <v>185</v>
      </c>
      <c r="U23" s="55">
        <v>176</v>
      </c>
      <c r="V23" s="55">
        <v>11</v>
      </c>
      <c r="W23" s="57">
        <v>187</v>
      </c>
      <c r="X23" s="57">
        <v>182</v>
      </c>
      <c r="Y23" s="57">
        <v>8</v>
      </c>
      <c r="Z23" s="57">
        <v>190</v>
      </c>
      <c r="AA23" s="133"/>
    </row>
    <row r="24" spans="2:27" x14ac:dyDescent="0.25">
      <c r="B24" s="2" t="s">
        <v>94</v>
      </c>
      <c r="C24" s="57">
        <v>351</v>
      </c>
      <c r="D24" s="57">
        <v>13</v>
      </c>
      <c r="E24" s="57">
        <v>364</v>
      </c>
      <c r="F24" s="57">
        <v>305</v>
      </c>
      <c r="G24" s="57">
        <v>16</v>
      </c>
      <c r="H24" s="57">
        <v>321</v>
      </c>
      <c r="I24" s="57">
        <v>347</v>
      </c>
      <c r="J24" s="57">
        <v>15</v>
      </c>
      <c r="K24" s="57">
        <v>362</v>
      </c>
      <c r="L24" s="57">
        <v>324</v>
      </c>
      <c r="M24" s="57">
        <v>16</v>
      </c>
      <c r="N24" s="57">
        <v>340</v>
      </c>
      <c r="O24" s="2">
        <v>380</v>
      </c>
      <c r="P24" s="2">
        <v>14</v>
      </c>
      <c r="Q24" s="2">
        <v>394</v>
      </c>
      <c r="R24" s="42">
        <v>378</v>
      </c>
      <c r="S24" s="42">
        <v>18</v>
      </c>
      <c r="T24" s="57">
        <f t="shared" ref="T24:T30" si="43">SUM(R24:S24)</f>
        <v>396</v>
      </c>
      <c r="U24" s="42">
        <v>428</v>
      </c>
      <c r="V24" s="42">
        <v>25</v>
      </c>
      <c r="W24" s="57">
        <v>453</v>
      </c>
      <c r="X24" s="57">
        <v>419</v>
      </c>
      <c r="Y24" s="57">
        <v>20</v>
      </c>
      <c r="Z24" s="57">
        <v>439</v>
      </c>
      <c r="AA24" s="133"/>
    </row>
    <row r="25" spans="2:27" x14ac:dyDescent="0.25">
      <c r="B25" s="2" t="s">
        <v>95</v>
      </c>
      <c r="C25" s="57">
        <v>529</v>
      </c>
      <c r="D25" s="57">
        <v>20</v>
      </c>
      <c r="E25" s="57">
        <v>549</v>
      </c>
      <c r="F25" s="57">
        <v>488</v>
      </c>
      <c r="G25" s="57">
        <v>9</v>
      </c>
      <c r="H25" s="57">
        <v>497</v>
      </c>
      <c r="I25" s="57">
        <v>528</v>
      </c>
      <c r="J25" s="57">
        <v>15</v>
      </c>
      <c r="K25" s="57">
        <v>543</v>
      </c>
      <c r="L25" s="57">
        <v>523</v>
      </c>
      <c r="M25" s="57">
        <v>12</v>
      </c>
      <c r="N25" s="57">
        <v>535</v>
      </c>
      <c r="O25" s="2">
        <f>380+129</f>
        <v>509</v>
      </c>
      <c r="P25" s="2">
        <v>12</v>
      </c>
      <c r="Q25" s="2">
        <f>135+386</f>
        <v>521</v>
      </c>
      <c r="R25" s="42">
        <v>555</v>
      </c>
      <c r="S25" s="42">
        <v>10</v>
      </c>
      <c r="T25" s="57">
        <f t="shared" si="43"/>
        <v>565</v>
      </c>
      <c r="U25" s="42">
        <v>611</v>
      </c>
      <c r="V25" s="42">
        <v>20</v>
      </c>
      <c r="W25" s="57">
        <v>631</v>
      </c>
      <c r="X25" s="57">
        <v>720</v>
      </c>
      <c r="Y25" s="57">
        <v>36</v>
      </c>
      <c r="Z25" s="57">
        <v>756</v>
      </c>
      <c r="AA25" s="133"/>
    </row>
    <row r="26" spans="2:27" x14ac:dyDescent="0.25">
      <c r="B26" s="2" t="s">
        <v>96</v>
      </c>
      <c r="C26" s="57">
        <v>280</v>
      </c>
      <c r="D26" s="57">
        <v>6</v>
      </c>
      <c r="E26" s="57">
        <v>286</v>
      </c>
      <c r="F26" s="57">
        <v>237</v>
      </c>
      <c r="G26" s="57">
        <v>4</v>
      </c>
      <c r="H26" s="57">
        <v>241</v>
      </c>
      <c r="I26" s="57">
        <v>244</v>
      </c>
      <c r="J26" s="57">
        <v>9</v>
      </c>
      <c r="K26" s="57">
        <v>253</v>
      </c>
      <c r="L26" s="57">
        <v>234</v>
      </c>
      <c r="M26" s="57">
        <v>9</v>
      </c>
      <c r="N26" s="57">
        <v>243</v>
      </c>
      <c r="O26" s="2">
        <v>214</v>
      </c>
      <c r="P26" s="2">
        <v>0</v>
      </c>
      <c r="Q26" s="2">
        <v>214</v>
      </c>
      <c r="R26" s="42">
        <f>205+9</f>
        <v>214</v>
      </c>
      <c r="S26" s="42">
        <v>7</v>
      </c>
      <c r="T26" s="57">
        <f t="shared" si="43"/>
        <v>221</v>
      </c>
      <c r="U26" s="42">
        <v>171</v>
      </c>
      <c r="V26" s="42">
        <v>9</v>
      </c>
      <c r="W26" s="57">
        <v>180</v>
      </c>
      <c r="X26" s="57">
        <v>183</v>
      </c>
      <c r="Y26" s="57">
        <v>7</v>
      </c>
      <c r="Z26" s="57">
        <v>190</v>
      </c>
      <c r="AA26" s="133"/>
    </row>
    <row r="27" spans="2:27" x14ac:dyDescent="0.25">
      <c r="B27" s="2" t="s">
        <v>97</v>
      </c>
      <c r="C27" s="57">
        <v>250</v>
      </c>
      <c r="D27" s="57">
        <v>3</v>
      </c>
      <c r="E27" s="57">
        <v>253</v>
      </c>
      <c r="F27" s="57">
        <v>204</v>
      </c>
      <c r="G27" s="57">
        <v>4</v>
      </c>
      <c r="H27" s="57">
        <v>208</v>
      </c>
      <c r="I27" s="57">
        <v>210</v>
      </c>
      <c r="J27" s="57">
        <v>9</v>
      </c>
      <c r="K27" s="57">
        <v>219</v>
      </c>
      <c r="L27" s="57">
        <v>173</v>
      </c>
      <c r="M27" s="57">
        <v>3</v>
      </c>
      <c r="N27" s="57">
        <v>176</v>
      </c>
      <c r="O27" s="2">
        <v>148</v>
      </c>
      <c r="P27" s="2">
        <v>3</v>
      </c>
      <c r="Q27" s="2">
        <v>151</v>
      </c>
      <c r="R27" s="42">
        <v>146</v>
      </c>
      <c r="S27" s="42">
        <v>1</v>
      </c>
      <c r="T27" s="57">
        <f t="shared" si="43"/>
        <v>147</v>
      </c>
      <c r="U27" s="42">
        <v>135</v>
      </c>
      <c r="V27" s="42">
        <v>7</v>
      </c>
      <c r="W27" s="57">
        <v>142</v>
      </c>
      <c r="X27" s="57">
        <v>146</v>
      </c>
      <c r="Y27" s="57">
        <v>9</v>
      </c>
      <c r="Z27" s="57">
        <v>155</v>
      </c>
      <c r="AA27" s="133"/>
    </row>
    <row r="28" spans="2:27" x14ac:dyDescent="0.25">
      <c r="B28" s="2" t="s">
        <v>98</v>
      </c>
      <c r="C28" s="57">
        <v>143</v>
      </c>
      <c r="D28" s="57">
        <v>3</v>
      </c>
      <c r="E28" s="57">
        <v>146</v>
      </c>
      <c r="F28" s="57">
        <v>159</v>
      </c>
      <c r="G28" s="57">
        <v>2</v>
      </c>
      <c r="H28" s="57">
        <v>161</v>
      </c>
      <c r="I28" s="57">
        <v>160</v>
      </c>
      <c r="J28" s="57">
        <v>2</v>
      </c>
      <c r="K28" s="57">
        <v>162</v>
      </c>
      <c r="L28" s="57">
        <v>171</v>
      </c>
      <c r="M28" s="57">
        <v>1</v>
      </c>
      <c r="N28" s="57">
        <v>172</v>
      </c>
      <c r="O28" s="2">
        <f>138+70</f>
        <v>208</v>
      </c>
      <c r="P28" s="2">
        <v>5</v>
      </c>
      <c r="Q28" s="2">
        <f>140+73</f>
        <v>213</v>
      </c>
      <c r="R28" s="42">
        <f>168+70</f>
        <v>238</v>
      </c>
      <c r="S28" s="42">
        <v>6</v>
      </c>
      <c r="T28" s="57">
        <f>172+72</f>
        <v>244</v>
      </c>
      <c r="U28" s="42">
        <v>203</v>
      </c>
      <c r="V28" s="42">
        <v>6</v>
      </c>
      <c r="W28" s="57">
        <v>209</v>
      </c>
      <c r="X28" s="57">
        <v>245</v>
      </c>
      <c r="Y28" s="57">
        <v>4</v>
      </c>
      <c r="Z28" s="57">
        <v>249</v>
      </c>
      <c r="AA28" s="133"/>
    </row>
    <row r="29" spans="2:27" x14ac:dyDescent="0.25">
      <c r="B29" s="2" t="s">
        <v>99</v>
      </c>
      <c r="C29" s="57">
        <v>70</v>
      </c>
      <c r="D29" s="57">
        <v>7</v>
      </c>
      <c r="E29" s="57">
        <v>77</v>
      </c>
      <c r="F29" s="57">
        <v>65</v>
      </c>
      <c r="G29" s="57">
        <v>4</v>
      </c>
      <c r="H29" s="57">
        <v>69</v>
      </c>
      <c r="I29" s="57">
        <v>69</v>
      </c>
      <c r="J29" s="57">
        <v>9</v>
      </c>
      <c r="K29" s="57">
        <v>78</v>
      </c>
      <c r="L29" s="57">
        <v>67</v>
      </c>
      <c r="M29" s="57">
        <v>3</v>
      </c>
      <c r="N29" s="57">
        <v>70</v>
      </c>
      <c r="O29" s="2">
        <v>70</v>
      </c>
      <c r="P29" s="2">
        <v>6</v>
      </c>
      <c r="Q29" s="2">
        <v>76</v>
      </c>
      <c r="R29" s="42">
        <v>61</v>
      </c>
      <c r="S29" s="42">
        <v>3</v>
      </c>
      <c r="T29" s="57">
        <f t="shared" si="43"/>
        <v>64</v>
      </c>
      <c r="U29" s="42">
        <v>56</v>
      </c>
      <c r="V29" s="42">
        <v>5</v>
      </c>
      <c r="W29" s="57">
        <v>61</v>
      </c>
      <c r="X29" s="57">
        <v>97</v>
      </c>
      <c r="Y29" s="57">
        <v>7</v>
      </c>
      <c r="Z29" s="57">
        <f>SUM(X29:Y29)</f>
        <v>104</v>
      </c>
      <c r="AA29" s="133"/>
    </row>
    <row r="30" spans="2:27" x14ac:dyDescent="0.25">
      <c r="B30" s="2" t="s">
        <v>100</v>
      </c>
      <c r="C30" s="57">
        <v>54</v>
      </c>
      <c r="D30" s="57">
        <v>1</v>
      </c>
      <c r="E30" s="57">
        <v>55</v>
      </c>
      <c r="F30" s="57">
        <v>69</v>
      </c>
      <c r="G30" s="57">
        <v>1</v>
      </c>
      <c r="H30" s="57">
        <v>70</v>
      </c>
      <c r="I30" s="57">
        <v>71</v>
      </c>
      <c r="J30" s="57">
        <v>3</v>
      </c>
      <c r="K30" s="57">
        <v>74</v>
      </c>
      <c r="L30" s="57">
        <v>68</v>
      </c>
      <c r="M30" s="57">
        <v>1</v>
      </c>
      <c r="N30" s="57">
        <v>69</v>
      </c>
      <c r="O30" s="2">
        <v>56</v>
      </c>
      <c r="P30" s="2">
        <v>1</v>
      </c>
      <c r="Q30" s="2">
        <v>57</v>
      </c>
      <c r="R30" s="42">
        <v>67</v>
      </c>
      <c r="S30" s="42">
        <v>3</v>
      </c>
      <c r="T30" s="57">
        <f t="shared" si="43"/>
        <v>70</v>
      </c>
      <c r="U30" s="42">
        <v>70</v>
      </c>
      <c r="V30" s="42">
        <v>3</v>
      </c>
      <c r="W30" s="57">
        <v>73</v>
      </c>
      <c r="X30" s="57">
        <v>55</v>
      </c>
      <c r="Y30" s="57">
        <v>0</v>
      </c>
      <c r="Z30" s="57">
        <v>55</v>
      </c>
      <c r="AA30" s="133"/>
    </row>
    <row r="31" spans="2:27" x14ac:dyDescent="0.25">
      <c r="B31" s="2" t="s">
        <v>101</v>
      </c>
      <c r="C31" s="57">
        <v>260</v>
      </c>
      <c r="D31" s="57">
        <v>9</v>
      </c>
      <c r="E31" s="57">
        <v>269</v>
      </c>
      <c r="F31" s="57">
        <v>270</v>
      </c>
      <c r="G31" s="57">
        <v>8</v>
      </c>
      <c r="H31" s="57">
        <v>278</v>
      </c>
      <c r="I31" s="57">
        <v>304</v>
      </c>
      <c r="J31" s="57">
        <v>20</v>
      </c>
      <c r="K31" s="57">
        <v>324</v>
      </c>
      <c r="L31" s="57">
        <v>349</v>
      </c>
      <c r="M31" s="57">
        <v>11</v>
      </c>
      <c r="N31" s="57">
        <v>360</v>
      </c>
      <c r="O31" s="2">
        <v>434</v>
      </c>
      <c r="P31" s="2">
        <v>13</v>
      </c>
      <c r="Q31" s="2">
        <v>447</v>
      </c>
      <c r="R31" s="57">
        <f>27+170+3+198+44+40+26</f>
        <v>508</v>
      </c>
      <c r="S31" s="2">
        <f>1+11+5+1+6</f>
        <v>24</v>
      </c>
      <c r="T31" s="100">
        <f>SUM(R31:S31)</f>
        <v>532</v>
      </c>
      <c r="U31" s="57">
        <v>547</v>
      </c>
      <c r="V31" s="2">
        <v>21</v>
      </c>
      <c r="W31" s="100">
        <v>568</v>
      </c>
      <c r="X31" s="57">
        <v>498</v>
      </c>
      <c r="Y31" s="57">
        <v>19</v>
      </c>
      <c r="Z31" s="57">
        <v>517</v>
      </c>
      <c r="AA31" s="133"/>
    </row>
    <row r="32" spans="2:27" x14ac:dyDescent="0.25">
      <c r="B32" s="6"/>
      <c r="C32" s="58">
        <f>SUM(C23:C31)</f>
        <v>2117</v>
      </c>
      <c r="D32" s="57">
        <f t="shared" ref="D32:N32" si="44">SUM(D23:D31)</f>
        <v>75</v>
      </c>
      <c r="E32" s="58">
        <f t="shared" si="44"/>
        <v>2192</v>
      </c>
      <c r="F32" s="58">
        <f t="shared" si="44"/>
        <v>1984</v>
      </c>
      <c r="G32" s="57">
        <f t="shared" si="44"/>
        <v>57</v>
      </c>
      <c r="H32" s="58">
        <f t="shared" si="44"/>
        <v>2041</v>
      </c>
      <c r="I32" s="58">
        <f t="shared" si="44"/>
        <v>2115</v>
      </c>
      <c r="J32" s="57">
        <f t="shared" si="44"/>
        <v>91</v>
      </c>
      <c r="K32" s="58">
        <f t="shared" si="44"/>
        <v>2206</v>
      </c>
      <c r="L32" s="58">
        <f t="shared" si="44"/>
        <v>2075</v>
      </c>
      <c r="M32" s="57">
        <f t="shared" si="44"/>
        <v>68</v>
      </c>
      <c r="N32" s="58">
        <f t="shared" si="44"/>
        <v>2143</v>
      </c>
      <c r="O32" s="13">
        <f>3503-1311</f>
        <v>2192</v>
      </c>
      <c r="P32" s="13">
        <f>132-69</f>
        <v>63</v>
      </c>
      <c r="Q32" s="13">
        <f>3635-1380</f>
        <v>2255</v>
      </c>
      <c r="R32" s="58">
        <f>SUM(R23:R31)</f>
        <v>2340</v>
      </c>
      <c r="S32" s="58">
        <f t="shared" ref="S32:T32" si="45">SUM(S23:S31)</f>
        <v>84</v>
      </c>
      <c r="T32" s="58">
        <f t="shared" si="45"/>
        <v>2424</v>
      </c>
      <c r="U32" s="58">
        <f>SUM(U23:U31)</f>
        <v>2397</v>
      </c>
      <c r="V32" s="58">
        <v>107</v>
      </c>
      <c r="W32" s="58">
        <v>2504</v>
      </c>
      <c r="X32" s="58">
        <f>SUM(X23:X31)</f>
        <v>2545</v>
      </c>
      <c r="Y32" s="57">
        <f t="shared" ref="Y32" si="46">SUM(Y23:Y31)</f>
        <v>110</v>
      </c>
      <c r="Z32" s="58">
        <f>SUM(Z23:Z31)</f>
        <v>2655</v>
      </c>
      <c r="AA32" s="133"/>
    </row>
    <row r="33" spans="2:26" x14ac:dyDescent="0.25">
      <c r="B33" s="6"/>
      <c r="R33" s="99"/>
      <c r="S33" s="99"/>
      <c r="T33" s="99"/>
      <c r="U33" s="99"/>
      <c r="V33" s="99"/>
      <c r="W33" s="99"/>
      <c r="X33" s="99"/>
      <c r="Y33" s="99"/>
      <c r="Z33" s="99"/>
    </row>
    <row r="34" spans="2:26" x14ac:dyDescent="0.25">
      <c r="X34" s="161"/>
      <c r="Y34" s="161"/>
      <c r="Z34" s="161"/>
    </row>
    <row r="35" spans="2:26" x14ac:dyDescent="0.25">
      <c r="X35" s="161"/>
      <c r="Y35" s="161"/>
      <c r="Z35" s="161"/>
    </row>
    <row r="36" spans="2:26" ht="18.75" x14ac:dyDescent="0.3">
      <c r="B36" s="18" t="s">
        <v>132</v>
      </c>
      <c r="C36" s="186">
        <v>2014</v>
      </c>
      <c r="D36" s="186"/>
      <c r="E36" s="186"/>
      <c r="F36" s="186">
        <v>2015</v>
      </c>
      <c r="G36" s="186"/>
      <c r="H36" s="186"/>
      <c r="I36" s="186">
        <v>2016</v>
      </c>
      <c r="J36" s="186"/>
      <c r="K36" s="186"/>
      <c r="L36" s="186">
        <v>2017</v>
      </c>
      <c r="M36" s="186"/>
      <c r="N36" s="186"/>
      <c r="O36" s="186">
        <v>2018</v>
      </c>
      <c r="P36" s="186"/>
      <c r="Q36" s="186"/>
      <c r="R36" s="186">
        <v>2019</v>
      </c>
      <c r="S36" s="186"/>
      <c r="T36" s="186"/>
      <c r="U36" s="186">
        <v>2020</v>
      </c>
      <c r="V36" s="186"/>
      <c r="W36" s="186"/>
      <c r="X36" s="186">
        <v>2021</v>
      </c>
      <c r="Y36" s="186"/>
      <c r="Z36" s="186"/>
    </row>
    <row r="37" spans="2:26" ht="18.75" x14ac:dyDescent="0.3">
      <c r="B37" s="20"/>
      <c r="C37" s="53" t="s">
        <v>104</v>
      </c>
      <c r="D37" s="53" t="s">
        <v>105</v>
      </c>
      <c r="E37" s="53" t="s">
        <v>84</v>
      </c>
      <c r="F37" s="53" t="s">
        <v>104</v>
      </c>
      <c r="G37" s="53" t="s">
        <v>105</v>
      </c>
      <c r="H37" s="53" t="s">
        <v>84</v>
      </c>
      <c r="I37" s="53" t="s">
        <v>104</v>
      </c>
      <c r="J37" s="53" t="s">
        <v>105</v>
      </c>
      <c r="K37" s="53" t="s">
        <v>84</v>
      </c>
      <c r="L37" s="53" t="s">
        <v>104</v>
      </c>
      <c r="M37" s="53" t="s">
        <v>105</v>
      </c>
      <c r="N37" s="53" t="s">
        <v>84</v>
      </c>
      <c r="O37" s="53" t="s">
        <v>104</v>
      </c>
      <c r="P37" s="53" t="s">
        <v>105</v>
      </c>
      <c r="Q37" s="53" t="s">
        <v>84</v>
      </c>
      <c r="R37" s="53" t="s">
        <v>104</v>
      </c>
      <c r="S37" s="53" t="s">
        <v>105</v>
      </c>
      <c r="T37" s="53" t="s">
        <v>84</v>
      </c>
      <c r="U37" s="53" t="s">
        <v>104</v>
      </c>
      <c r="V37" s="53" t="s">
        <v>105</v>
      </c>
      <c r="W37" s="53" t="s">
        <v>84</v>
      </c>
      <c r="X37" s="53" t="s">
        <v>104</v>
      </c>
      <c r="Y37" s="53" t="s">
        <v>105</v>
      </c>
      <c r="Z37" s="53" t="s">
        <v>84</v>
      </c>
    </row>
    <row r="38" spans="2:26" x14ac:dyDescent="0.25">
      <c r="B38" s="54" t="s">
        <v>258</v>
      </c>
      <c r="C38" s="22"/>
      <c r="D38" s="22"/>
      <c r="E38" s="22"/>
      <c r="F38" s="22"/>
      <c r="G38" s="22"/>
      <c r="H38" s="22"/>
      <c r="I38" s="22"/>
      <c r="U38" s="6"/>
      <c r="V38" s="6"/>
      <c r="W38" s="6"/>
      <c r="X38" s="6"/>
      <c r="Y38" s="6"/>
      <c r="Z38" s="6"/>
    </row>
    <row r="39" spans="2:26" x14ac:dyDescent="0.25">
      <c r="B39" s="2" t="s">
        <v>93</v>
      </c>
      <c r="C39" s="55">
        <f t="shared" ref="C39" si="47">C55/C64*100</f>
        <v>25</v>
      </c>
      <c r="D39" s="55">
        <f>D55/D64*100</f>
        <v>31.677018633540371</v>
      </c>
      <c r="E39" s="55">
        <f t="shared" ref="E39" si="48">E55/E64*100</f>
        <v>25.479696564033915</v>
      </c>
      <c r="F39" s="55">
        <f>F55/F64*100</f>
        <v>24.212106053026513</v>
      </c>
      <c r="G39" s="55">
        <f>G55/G64*100</f>
        <v>37.06293706293706</v>
      </c>
      <c r="H39" s="55">
        <f t="shared" ref="H39" si="49">H55/H64*100</f>
        <v>25.070028011204482</v>
      </c>
      <c r="I39" s="55">
        <f>I55/I64*100</f>
        <v>20.8955223880597</v>
      </c>
      <c r="J39" s="55">
        <f>J55/J64*100</f>
        <v>29.936305732484076</v>
      </c>
      <c r="K39" s="55">
        <f t="shared" ref="K39" si="50">K55/K64*100</f>
        <v>21.512385919165581</v>
      </c>
      <c r="L39" s="55">
        <f>L55/L64*100</f>
        <v>21.028744326777609</v>
      </c>
      <c r="M39" s="55">
        <f>M55/M64*100</f>
        <v>29.375</v>
      </c>
      <c r="N39" s="55">
        <f>N55/N64*100</f>
        <v>21.651889874008397</v>
      </c>
      <c r="O39" s="55">
        <f t="shared" ref="O39:Q39" si="51">O55/O64*100</f>
        <v>21.534391534391535</v>
      </c>
      <c r="P39" s="55">
        <f t="shared" si="51"/>
        <v>28.472222222222221</v>
      </c>
      <c r="Q39" s="55">
        <f t="shared" si="51"/>
        <v>22.025565388397247</v>
      </c>
      <c r="R39" s="55">
        <f t="shared" ref="R39:T39" si="52">R55/R64*100</f>
        <v>20.602218700475436</v>
      </c>
      <c r="S39" s="55">
        <f t="shared" si="52"/>
        <v>25.874125874125873</v>
      </c>
      <c r="T39" s="55">
        <f t="shared" si="52"/>
        <v>20.972495088408643</v>
      </c>
      <c r="U39" s="55">
        <f t="shared" ref="U39:W39" si="53">U55/U64*100</f>
        <v>23.357664233576642</v>
      </c>
      <c r="V39" s="55">
        <f t="shared" si="53"/>
        <v>22.480620155038761</v>
      </c>
      <c r="W39" s="55">
        <f t="shared" si="53"/>
        <v>23.293852227862381</v>
      </c>
      <c r="X39" s="55">
        <f t="shared" ref="X39:Z39" si="54">X55/X64*100</f>
        <v>21.358216692586833</v>
      </c>
      <c r="Y39" s="55">
        <f t="shared" si="54"/>
        <v>25.308641975308642</v>
      </c>
      <c r="Z39" s="55">
        <f t="shared" si="54"/>
        <v>21.664275466284074</v>
      </c>
    </row>
    <row r="40" spans="2:26" x14ac:dyDescent="0.25">
      <c r="B40" s="2" t="s">
        <v>94</v>
      </c>
      <c r="C40" s="55">
        <f t="shared" ref="C40" si="55">C56/C64*100</f>
        <v>17.740384615384617</v>
      </c>
      <c r="D40" s="55">
        <f>D56/D64*100</f>
        <v>14.906832298136646</v>
      </c>
      <c r="E40" s="55">
        <f t="shared" ref="E40:F40" si="56">E56/E64*100</f>
        <v>17.536813922356089</v>
      </c>
      <c r="F40" s="55">
        <f t="shared" si="56"/>
        <v>16.758379189594798</v>
      </c>
      <c r="G40" s="55">
        <f>G56/G64*100</f>
        <v>18.181818181818183</v>
      </c>
      <c r="H40" s="55">
        <f t="shared" ref="H40:I40" si="57">H56/H64*100</f>
        <v>16.853408029878619</v>
      </c>
      <c r="I40" s="55">
        <f t="shared" si="57"/>
        <v>17.397388059701495</v>
      </c>
      <c r="J40" s="55">
        <f>J56/J64*100</f>
        <v>19.108280254777071</v>
      </c>
      <c r="K40" s="55">
        <f t="shared" ref="K40:L40" si="58">K56/K64*100</f>
        <v>17.514124293785311</v>
      </c>
      <c r="L40" s="55">
        <f t="shared" si="58"/>
        <v>16.086737266767521</v>
      </c>
      <c r="M40" s="55">
        <f>M56/M64*100</f>
        <v>18.125</v>
      </c>
      <c r="N40" s="55">
        <f>N56/N64*100</f>
        <v>16.238917405506299</v>
      </c>
      <c r="O40" s="55">
        <f t="shared" ref="O40:Q40" si="59">O56/O64*100</f>
        <v>15.449735449735449</v>
      </c>
      <c r="P40" s="55">
        <f t="shared" si="59"/>
        <v>16.666666666666664</v>
      </c>
      <c r="Q40" s="55">
        <f t="shared" si="59"/>
        <v>15.535889872173058</v>
      </c>
      <c r="R40" s="55">
        <f t="shared" ref="R40:T40" si="60">R56/R64*100</f>
        <v>17.274167987321711</v>
      </c>
      <c r="S40" s="55">
        <f t="shared" si="60"/>
        <v>18.181818181818183</v>
      </c>
      <c r="T40" s="55">
        <f t="shared" si="60"/>
        <v>17.337917485265226</v>
      </c>
      <c r="U40" s="55">
        <f t="shared" ref="U40:W40" si="61">U56/U64*100</f>
        <v>16.240875912408757</v>
      </c>
      <c r="V40" s="55">
        <f t="shared" si="61"/>
        <v>17.054263565891471</v>
      </c>
      <c r="W40" s="55">
        <f t="shared" si="61"/>
        <v>16.300056401579244</v>
      </c>
      <c r="X40" s="55">
        <f t="shared" ref="X40:Z40" si="62">X56/X64*100</f>
        <v>15.707620528771384</v>
      </c>
      <c r="Y40" s="55">
        <f t="shared" si="62"/>
        <v>15.432098765432098</v>
      </c>
      <c r="Z40" s="55">
        <f t="shared" si="62"/>
        <v>15.686274509803921</v>
      </c>
    </row>
    <row r="41" spans="2:26" x14ac:dyDescent="0.25">
      <c r="B41" s="2" t="s">
        <v>95</v>
      </c>
      <c r="C41" s="55">
        <f t="shared" ref="C41:N41" si="63">C57/C64*100</f>
        <v>19.08653846153846</v>
      </c>
      <c r="D41" s="55">
        <f t="shared" si="63"/>
        <v>27.329192546583851</v>
      </c>
      <c r="E41" s="55">
        <f t="shared" si="63"/>
        <v>19.678714859437751</v>
      </c>
      <c r="F41" s="55">
        <f t="shared" si="63"/>
        <v>19.859929964982491</v>
      </c>
      <c r="G41" s="55">
        <f t="shared" si="63"/>
        <v>14.685314685314685</v>
      </c>
      <c r="H41" s="55">
        <f t="shared" si="63"/>
        <v>19.514472455648928</v>
      </c>
      <c r="I41" s="55">
        <f t="shared" si="63"/>
        <v>18.050373134328357</v>
      </c>
      <c r="J41" s="55">
        <f t="shared" si="63"/>
        <v>18.471337579617835</v>
      </c>
      <c r="K41" s="55">
        <f t="shared" si="63"/>
        <v>18.07909604519774</v>
      </c>
      <c r="L41" s="55">
        <f t="shared" si="63"/>
        <v>21.129601613716591</v>
      </c>
      <c r="M41" s="55">
        <f t="shared" si="63"/>
        <v>24.375</v>
      </c>
      <c r="N41" s="55">
        <f t="shared" si="63"/>
        <v>21.371908539430702</v>
      </c>
      <c r="O41" s="55">
        <f t="shared" ref="O41:Q41" si="64">O57/O64*100</f>
        <v>21.587301587301589</v>
      </c>
      <c r="P41" s="55">
        <f t="shared" si="64"/>
        <v>18.75</v>
      </c>
      <c r="Q41" s="55">
        <f t="shared" si="64"/>
        <v>21.386430678466077</v>
      </c>
      <c r="R41" s="55">
        <f t="shared" ref="R41:T41" si="65">R57/R64*100</f>
        <v>21.288959323824617</v>
      </c>
      <c r="S41" s="55">
        <f t="shared" si="65"/>
        <v>16.083916083916083</v>
      </c>
      <c r="T41" s="55">
        <f t="shared" si="65"/>
        <v>20.923379174852652</v>
      </c>
      <c r="U41" s="55">
        <f t="shared" ref="U41:W41" si="66">U57/U64*100</f>
        <v>24.635036496350367</v>
      </c>
      <c r="V41" s="55">
        <f t="shared" si="66"/>
        <v>17.054263565891471</v>
      </c>
      <c r="W41" s="55">
        <f t="shared" si="66"/>
        <v>24.083474337281444</v>
      </c>
      <c r="X41" s="55">
        <f t="shared" ref="X41:Z41" si="67">X57/X64*100</f>
        <v>21.772939346811821</v>
      </c>
      <c r="Y41" s="55">
        <f t="shared" si="67"/>
        <v>20.987654320987652</v>
      </c>
      <c r="Z41" s="55">
        <f t="shared" si="67"/>
        <v>21.712099473935918</v>
      </c>
    </row>
    <row r="42" spans="2:26" x14ac:dyDescent="0.25">
      <c r="B42" s="2" t="s">
        <v>96</v>
      </c>
      <c r="C42" s="55">
        <f t="shared" ref="C42:M42" si="68">C58/C64*100</f>
        <v>11.25</v>
      </c>
      <c r="D42" s="55">
        <f t="shared" si="68"/>
        <v>9.316770186335404</v>
      </c>
      <c r="E42" s="55">
        <f t="shared" si="68"/>
        <v>11.111111111111111</v>
      </c>
      <c r="F42" s="55">
        <f t="shared" si="68"/>
        <v>10.855427713856928</v>
      </c>
      <c r="G42" s="55">
        <f t="shared" si="68"/>
        <v>7.6923076923076925</v>
      </c>
      <c r="H42" s="55">
        <f t="shared" si="68"/>
        <v>10.644257703081232</v>
      </c>
      <c r="I42" s="55">
        <f t="shared" si="68"/>
        <v>10.21455223880597</v>
      </c>
      <c r="J42" s="55">
        <f t="shared" si="68"/>
        <v>10.191082802547772</v>
      </c>
      <c r="K42" s="55">
        <f t="shared" si="68"/>
        <v>10.212950890916993</v>
      </c>
      <c r="L42" s="55">
        <f t="shared" si="68"/>
        <v>10.892586989409985</v>
      </c>
      <c r="M42" s="55">
        <f t="shared" si="68"/>
        <v>7.5</v>
      </c>
      <c r="N42" s="55">
        <f>N58/N64*100</f>
        <v>10.639290713952402</v>
      </c>
      <c r="O42" s="55">
        <f t="shared" ref="O42:Q42" si="69">O58/O64*100</f>
        <v>9.1005291005291014</v>
      </c>
      <c r="P42" s="55">
        <f t="shared" si="69"/>
        <v>6.25</v>
      </c>
      <c r="Q42" s="55">
        <f t="shared" si="69"/>
        <v>8.8987217305801369</v>
      </c>
      <c r="R42" s="55">
        <f t="shared" ref="R42:T42" si="70">R58/R64*100</f>
        <v>8.9804543053354458</v>
      </c>
      <c r="S42" s="55">
        <f t="shared" si="70"/>
        <v>7.6923076923076925</v>
      </c>
      <c r="T42" s="55">
        <f t="shared" si="70"/>
        <v>8.8899803536345772</v>
      </c>
      <c r="U42" s="55">
        <f t="shared" ref="U42:W42" si="71">U58/U64*100</f>
        <v>7.3600973236009724</v>
      </c>
      <c r="V42" s="55">
        <f t="shared" si="71"/>
        <v>9.3023255813953494</v>
      </c>
      <c r="W42" s="55">
        <f t="shared" si="71"/>
        <v>7.5014100394811063</v>
      </c>
      <c r="X42" s="55">
        <f t="shared" ref="X42:Z42" si="72">X58/X64*100</f>
        <v>8.1389320891653707</v>
      </c>
      <c r="Y42" s="55">
        <f t="shared" si="72"/>
        <v>6.1728395061728394</v>
      </c>
      <c r="Z42" s="55">
        <f t="shared" si="72"/>
        <v>7.9866092778574842</v>
      </c>
    </row>
    <row r="43" spans="2:26" x14ac:dyDescent="0.25">
      <c r="B43" s="2" t="s">
        <v>97</v>
      </c>
      <c r="C43" s="55">
        <f t="shared" ref="C43:N43" si="73">C59/C64*100</f>
        <v>7.3557692307692308</v>
      </c>
      <c r="D43" s="55">
        <f t="shared" si="73"/>
        <v>6.2111801242236027</v>
      </c>
      <c r="E43" s="55">
        <f t="shared" si="73"/>
        <v>7.2735385988398029</v>
      </c>
      <c r="F43" s="55">
        <f t="shared" si="73"/>
        <v>7.0535267633816918</v>
      </c>
      <c r="G43" s="55">
        <f t="shared" si="73"/>
        <v>4.1958041958041958</v>
      </c>
      <c r="H43" s="55">
        <f t="shared" si="73"/>
        <v>6.8627450980392162</v>
      </c>
      <c r="I43" s="55">
        <f t="shared" si="73"/>
        <v>9.281716417910447</v>
      </c>
      <c r="J43" s="55">
        <f t="shared" si="73"/>
        <v>1.910828025477707</v>
      </c>
      <c r="K43" s="55">
        <f t="shared" si="73"/>
        <v>8.7787918296392871</v>
      </c>
      <c r="L43" s="55">
        <f t="shared" si="73"/>
        <v>8.472012102874432</v>
      </c>
      <c r="M43" s="55">
        <f t="shared" si="73"/>
        <v>6.8750000000000009</v>
      </c>
      <c r="N43" s="55">
        <f t="shared" si="73"/>
        <v>8.3527764815678953</v>
      </c>
      <c r="O43" s="55">
        <f t="shared" ref="O43:Q43" si="74">O59/O64*100</f>
        <v>8.6772486772486772</v>
      </c>
      <c r="P43" s="55">
        <f t="shared" si="74"/>
        <v>6.25</v>
      </c>
      <c r="Q43" s="55">
        <f t="shared" si="74"/>
        <v>8.5054080629301865</v>
      </c>
      <c r="R43" s="55">
        <f t="shared" ref="R43:T43" si="75">R59/R64*100</f>
        <v>9.1389329107237174</v>
      </c>
      <c r="S43" s="55">
        <f t="shared" si="75"/>
        <v>9.0909090909090917</v>
      </c>
      <c r="T43" s="55">
        <f t="shared" si="75"/>
        <v>9.1355599214145382</v>
      </c>
      <c r="U43" s="55">
        <f t="shared" ref="U43:W43" si="76">U59/U64*100</f>
        <v>8.0291970802919703</v>
      </c>
      <c r="V43" s="55">
        <f t="shared" si="76"/>
        <v>10.077519379844961</v>
      </c>
      <c r="W43" s="55">
        <f t="shared" si="76"/>
        <v>8.178228990411732</v>
      </c>
      <c r="X43" s="55">
        <f t="shared" ref="X43:Z43" si="77">X59/X64*100</f>
        <v>7.8278900984966304</v>
      </c>
      <c r="Y43" s="55">
        <f t="shared" si="77"/>
        <v>8.0246913580246915</v>
      </c>
      <c r="Z43" s="55">
        <f t="shared" si="77"/>
        <v>7.8431372549019605</v>
      </c>
    </row>
    <row r="44" spans="2:26" x14ac:dyDescent="0.25">
      <c r="B44" s="2" t="s">
        <v>98</v>
      </c>
      <c r="C44" s="55">
        <f t="shared" ref="C44:N44" si="78">C60/C64*100</f>
        <v>4.5673076923076916</v>
      </c>
      <c r="D44" s="55">
        <f t="shared" si="78"/>
        <v>1.2422360248447204</v>
      </c>
      <c r="E44" s="55">
        <f t="shared" si="78"/>
        <v>4.3284248103525211</v>
      </c>
      <c r="F44" s="55">
        <f t="shared" si="78"/>
        <v>4.9024512256128059</v>
      </c>
      <c r="G44" s="55">
        <f t="shared" si="78"/>
        <v>0.69930069930069927</v>
      </c>
      <c r="H44" s="55">
        <f t="shared" si="78"/>
        <v>4.6218487394957988</v>
      </c>
      <c r="I44" s="55">
        <f t="shared" si="78"/>
        <v>6.2033582089552235</v>
      </c>
      <c r="J44" s="55">
        <f t="shared" si="78"/>
        <v>1.2738853503184715</v>
      </c>
      <c r="K44" s="55">
        <f t="shared" si="78"/>
        <v>5.8670143415906129</v>
      </c>
      <c r="L44" s="55">
        <f t="shared" si="78"/>
        <v>6.9591527987897122</v>
      </c>
      <c r="M44" s="55">
        <f t="shared" si="78"/>
        <v>1.25</v>
      </c>
      <c r="N44" s="55">
        <f t="shared" si="78"/>
        <v>6.5328978068128789</v>
      </c>
      <c r="O44" s="55">
        <f t="shared" ref="O44:Q44" si="79">O60/O64*100</f>
        <v>6.1904761904761907</v>
      </c>
      <c r="P44" s="55">
        <f t="shared" si="79"/>
        <v>0.69444444444444442</v>
      </c>
      <c r="Q44" s="55">
        <f t="shared" si="79"/>
        <v>5.8013765978367751</v>
      </c>
      <c r="R44" s="55">
        <f t="shared" ref="R44:T44" si="80">R60/R64*100</f>
        <v>5.8108821975699954</v>
      </c>
      <c r="S44" s="55">
        <f t="shared" si="80"/>
        <v>2.0979020979020979</v>
      </c>
      <c r="T44" s="55">
        <f t="shared" si="80"/>
        <v>5.5500982318271124</v>
      </c>
      <c r="U44" s="55">
        <f t="shared" ref="U44:W44" si="81">U60/U64*100</f>
        <v>6.447688564476886</v>
      </c>
      <c r="V44" s="55">
        <f t="shared" si="81"/>
        <v>0.77519379844961245</v>
      </c>
      <c r="W44" s="55">
        <f t="shared" si="81"/>
        <v>6.0349689791314161</v>
      </c>
      <c r="X44" s="55">
        <f t="shared" ref="X44:Z44" si="82">X60/X64*100</f>
        <v>6.6355624675997928</v>
      </c>
      <c r="Y44" s="55">
        <f t="shared" si="82"/>
        <v>3.7037037037037033</v>
      </c>
      <c r="Z44" s="55">
        <f t="shared" si="82"/>
        <v>6.4084170253467239</v>
      </c>
    </row>
    <row r="45" spans="2:26" x14ac:dyDescent="0.25">
      <c r="B45" s="2" t="s">
        <v>99</v>
      </c>
      <c r="C45" s="55">
        <f t="shared" ref="C45:N45" si="83">C61/C64*100</f>
        <v>6.7307692307692308</v>
      </c>
      <c r="D45" s="55">
        <f t="shared" si="83"/>
        <v>4.3478260869565215</v>
      </c>
      <c r="E45" s="55">
        <f t="shared" si="83"/>
        <v>6.5595716198125835</v>
      </c>
      <c r="F45" s="55">
        <f t="shared" si="83"/>
        <v>6.103051525762881</v>
      </c>
      <c r="G45" s="55">
        <f t="shared" si="83"/>
        <v>9.79020979020979</v>
      </c>
      <c r="H45" s="55">
        <f t="shared" si="83"/>
        <v>6.3492063492063489</v>
      </c>
      <c r="I45" s="55">
        <f t="shared" si="83"/>
        <v>6.3899253731343277</v>
      </c>
      <c r="J45" s="55">
        <f t="shared" si="83"/>
        <v>9.5541401273885356</v>
      </c>
      <c r="K45" s="55">
        <f t="shared" si="83"/>
        <v>6.605823554976098</v>
      </c>
      <c r="L45" s="55">
        <f t="shared" si="83"/>
        <v>6.6565809379727687</v>
      </c>
      <c r="M45" s="55">
        <f t="shared" si="83"/>
        <v>6.8750000000000009</v>
      </c>
      <c r="N45" s="55">
        <f t="shared" si="83"/>
        <v>6.6728884741017263</v>
      </c>
      <c r="O45" s="55">
        <f t="shared" ref="O45:Q45" si="84">O61/O64*100</f>
        <v>8.0423280423280428</v>
      </c>
      <c r="P45" s="55">
        <f t="shared" si="84"/>
        <v>15.277777777777779</v>
      </c>
      <c r="Q45" s="55">
        <f t="shared" si="84"/>
        <v>8.5545722713864301</v>
      </c>
      <c r="R45" s="55">
        <f t="shared" ref="R45:T45" si="85">R61/R64*100</f>
        <v>6.286318013734812</v>
      </c>
      <c r="S45" s="55">
        <f t="shared" si="85"/>
        <v>16.083916083916083</v>
      </c>
      <c r="T45" s="55">
        <f t="shared" si="85"/>
        <v>6.9744597249508837</v>
      </c>
      <c r="U45" s="55">
        <f t="shared" ref="U45:W45" si="86">U61/U64*100</f>
        <v>5.4744525547445262</v>
      </c>
      <c r="V45" s="55">
        <f t="shared" si="86"/>
        <v>13.953488372093023</v>
      </c>
      <c r="W45" s="55">
        <f t="shared" si="86"/>
        <v>6.091370558375635</v>
      </c>
      <c r="X45" s="55">
        <f t="shared" ref="X45:Z45" si="87">X61/X64*100</f>
        <v>4.8729911871435982</v>
      </c>
      <c r="Y45" s="55">
        <f t="shared" si="87"/>
        <v>9.8765432098765427</v>
      </c>
      <c r="Z45" s="55">
        <f t="shared" si="87"/>
        <v>5.2606408417025348</v>
      </c>
    </row>
    <row r="46" spans="2:26" x14ac:dyDescent="0.25">
      <c r="B46" s="2" t="s">
        <v>100</v>
      </c>
      <c r="C46" s="55">
        <f t="shared" ref="C46:N46" si="88">C62/C64*100</f>
        <v>7.0673076923076925</v>
      </c>
      <c r="D46" s="55">
        <f t="shared" si="88"/>
        <v>4.9689440993788816</v>
      </c>
      <c r="E46" s="55">
        <f t="shared" si="88"/>
        <v>6.9165551093261932</v>
      </c>
      <c r="F46" s="55">
        <f t="shared" si="88"/>
        <v>8.8544272136068045</v>
      </c>
      <c r="G46" s="55">
        <f t="shared" si="88"/>
        <v>6.2937062937062942</v>
      </c>
      <c r="H46" s="55">
        <f t="shared" si="88"/>
        <v>8.6834733893557416</v>
      </c>
      <c r="I46" s="55">
        <f t="shared" si="88"/>
        <v>8.628731343283583</v>
      </c>
      <c r="J46" s="55">
        <f t="shared" si="88"/>
        <v>6.369426751592357</v>
      </c>
      <c r="K46" s="55">
        <f t="shared" si="88"/>
        <v>8.4745762711864394</v>
      </c>
      <c r="L46" s="55">
        <f t="shared" si="88"/>
        <v>7.2617246596066565</v>
      </c>
      <c r="M46" s="55">
        <f t="shared" si="88"/>
        <v>3.75</v>
      </c>
      <c r="N46" s="55">
        <f t="shared" si="88"/>
        <v>6.9995333644423701</v>
      </c>
      <c r="O46" s="55">
        <f t="shared" ref="O46:Q46" si="89">O62/O64*100</f>
        <v>7.6719576719576716</v>
      </c>
      <c r="P46" s="55">
        <f t="shared" si="89"/>
        <v>6.9444444444444446</v>
      </c>
      <c r="Q46" s="55">
        <f t="shared" si="89"/>
        <v>7.6204523107177975</v>
      </c>
      <c r="R46" s="55">
        <f t="shared" ref="R46:T46" si="90">R62/R64*100</f>
        <v>8.9804543053354458</v>
      </c>
      <c r="S46" s="55">
        <f t="shared" si="90"/>
        <v>4.895104895104895</v>
      </c>
      <c r="T46" s="55">
        <f t="shared" si="90"/>
        <v>8.6935166994106101</v>
      </c>
      <c r="U46" s="55">
        <f t="shared" ref="U46:W46" si="91">U62/U64*100</f>
        <v>7.1167883211678831</v>
      </c>
      <c r="V46" s="55">
        <f t="shared" si="91"/>
        <v>8.5271317829457356</v>
      </c>
      <c r="W46" s="55">
        <f t="shared" si="91"/>
        <v>7.2194021432600124</v>
      </c>
      <c r="X46" s="55">
        <f t="shared" ref="X46:Z46" si="92">X62/X64*100</f>
        <v>12.078797304302748</v>
      </c>
      <c r="Y46" s="55">
        <f t="shared" si="92"/>
        <v>9.2592592592592595</v>
      </c>
      <c r="Z46" s="55">
        <f t="shared" si="92"/>
        <v>11.860353897656625</v>
      </c>
    </row>
    <row r="47" spans="2:26" x14ac:dyDescent="0.25">
      <c r="B47" s="2" t="s">
        <v>101</v>
      </c>
      <c r="C47" s="55">
        <f t="shared" ref="C47:N47" si="93">C63/C64*100</f>
        <v>1.2019230769230771</v>
      </c>
      <c r="D47" s="55">
        <f t="shared" si="93"/>
        <v>0</v>
      </c>
      <c r="E47" s="55">
        <f t="shared" si="93"/>
        <v>1.1155734047300312</v>
      </c>
      <c r="F47" s="55">
        <f t="shared" si="93"/>
        <v>1.4007003501750876</v>
      </c>
      <c r="G47" s="55">
        <f t="shared" si="93"/>
        <v>1.3986013986013985</v>
      </c>
      <c r="H47" s="55">
        <f t="shared" si="93"/>
        <v>1.400560224089636</v>
      </c>
      <c r="I47" s="55">
        <f t="shared" si="93"/>
        <v>2.9384328358208958</v>
      </c>
      <c r="J47" s="55">
        <f t="shared" si="93"/>
        <v>3.1847133757961785</v>
      </c>
      <c r="K47" s="55">
        <f t="shared" si="93"/>
        <v>2.9552368535419382</v>
      </c>
      <c r="L47" s="55">
        <f t="shared" si="93"/>
        <v>1.5128593040847202</v>
      </c>
      <c r="M47" s="55">
        <f t="shared" si="93"/>
        <v>1.875</v>
      </c>
      <c r="N47" s="55">
        <f t="shared" si="93"/>
        <v>1.5398973401773215</v>
      </c>
      <c r="O47" s="55">
        <f t="shared" ref="O47:Q47" si="94">O63/O64*100</f>
        <v>1.746031746031746</v>
      </c>
      <c r="P47" s="55">
        <f t="shared" si="94"/>
        <v>0.69444444444444442</v>
      </c>
      <c r="Q47" s="55">
        <f t="shared" si="94"/>
        <v>1.671583087512291</v>
      </c>
      <c r="R47" s="55">
        <f t="shared" ref="R47:T47" si="95">R63/R64*100</f>
        <v>1.6376122556788169</v>
      </c>
      <c r="S47" s="55">
        <f t="shared" si="95"/>
        <v>0</v>
      </c>
      <c r="T47" s="55">
        <f t="shared" si="95"/>
        <v>1.5225933202357564</v>
      </c>
      <c r="U47" s="55">
        <f t="shared" ref="U47:W47" si="96">U63/U64*100</f>
        <v>1.3381995133819951</v>
      </c>
      <c r="V47" s="55">
        <f t="shared" si="96"/>
        <v>0.77519379844961245</v>
      </c>
      <c r="W47" s="55">
        <f t="shared" si="96"/>
        <v>1.2972363226170334</v>
      </c>
      <c r="X47" s="55">
        <f t="shared" ref="X47:Z47" si="97">X63/X64*100</f>
        <v>1.6070502851218249</v>
      </c>
      <c r="Y47" s="55">
        <f t="shared" si="97"/>
        <v>1.2345679012345678</v>
      </c>
      <c r="Z47" s="55">
        <f t="shared" si="97"/>
        <v>1.5781922525107603</v>
      </c>
    </row>
    <row r="48" spans="2:26" x14ac:dyDescent="0.25">
      <c r="B48" s="17" t="s">
        <v>102</v>
      </c>
      <c r="C48" s="130">
        <f t="shared" ref="C48:N48" si="98">SUM(C39:C47)</f>
        <v>99.999999999999986</v>
      </c>
      <c r="D48" s="130">
        <f t="shared" si="98"/>
        <v>100</v>
      </c>
      <c r="E48" s="130">
        <f t="shared" si="98"/>
        <v>100</v>
      </c>
      <c r="F48" s="130">
        <f t="shared" si="98"/>
        <v>100.00000000000001</v>
      </c>
      <c r="G48" s="130">
        <f t="shared" si="98"/>
        <v>99.999999999999986</v>
      </c>
      <c r="H48" s="130">
        <f t="shared" si="98"/>
        <v>100</v>
      </c>
      <c r="I48" s="130">
        <f t="shared" si="98"/>
        <v>100</v>
      </c>
      <c r="J48" s="130">
        <f t="shared" si="98"/>
        <v>100</v>
      </c>
      <c r="K48" s="130">
        <f t="shared" si="98"/>
        <v>100.00000000000001</v>
      </c>
      <c r="L48" s="130">
        <f t="shared" si="98"/>
        <v>99.999999999999986</v>
      </c>
      <c r="M48" s="130">
        <f t="shared" si="98"/>
        <v>100</v>
      </c>
      <c r="N48" s="130">
        <f t="shared" si="98"/>
        <v>100</v>
      </c>
      <c r="O48" s="130">
        <f t="shared" ref="O48:Q48" si="99">SUM(O39:O47)</f>
        <v>100</v>
      </c>
      <c r="P48" s="130">
        <f t="shared" si="99"/>
        <v>100</v>
      </c>
      <c r="Q48" s="130">
        <f t="shared" si="99"/>
        <v>100</v>
      </c>
      <c r="R48" s="130">
        <f t="shared" ref="R48:T48" si="100">SUM(R39:R47)</f>
        <v>100</v>
      </c>
      <c r="S48" s="130">
        <f t="shared" si="100"/>
        <v>99.999999999999986</v>
      </c>
      <c r="T48" s="130">
        <f t="shared" si="100"/>
        <v>100</v>
      </c>
      <c r="U48" s="130">
        <f t="shared" ref="U48:W48" si="101">SUM(U39:U47)</f>
        <v>100</v>
      </c>
      <c r="V48" s="130">
        <f t="shared" si="101"/>
        <v>99.999999999999972</v>
      </c>
      <c r="W48" s="130">
        <f t="shared" si="101"/>
        <v>100.00000000000001</v>
      </c>
      <c r="X48" s="130">
        <f t="shared" ref="X48:Z48" si="102">SUM(X39:X47)</f>
        <v>100</v>
      </c>
      <c r="Y48" s="130">
        <f t="shared" si="102"/>
        <v>100.00000000000001</v>
      </c>
      <c r="Z48" s="130">
        <f t="shared" si="102"/>
        <v>100</v>
      </c>
    </row>
    <row r="49" spans="2:33" x14ac:dyDescent="0.25">
      <c r="B49" s="2" t="s">
        <v>103</v>
      </c>
      <c r="C49" s="56">
        <f>C64</f>
        <v>2080</v>
      </c>
      <c r="D49" s="55">
        <f t="shared" ref="D49:N49" si="103">D64</f>
        <v>161</v>
      </c>
      <c r="E49" s="56">
        <f t="shared" si="103"/>
        <v>2241</v>
      </c>
      <c r="F49" s="56">
        <f t="shared" si="103"/>
        <v>1999</v>
      </c>
      <c r="G49" s="55">
        <f t="shared" si="103"/>
        <v>143</v>
      </c>
      <c r="H49" s="56">
        <f t="shared" si="103"/>
        <v>2142</v>
      </c>
      <c r="I49" s="56">
        <f t="shared" si="103"/>
        <v>2144</v>
      </c>
      <c r="J49" s="55">
        <f t="shared" si="103"/>
        <v>157</v>
      </c>
      <c r="K49" s="56">
        <f t="shared" si="103"/>
        <v>2301</v>
      </c>
      <c r="L49" s="56">
        <f t="shared" si="103"/>
        <v>1983</v>
      </c>
      <c r="M49" s="55">
        <f t="shared" si="103"/>
        <v>160</v>
      </c>
      <c r="N49" s="56">
        <f t="shared" si="103"/>
        <v>2143</v>
      </c>
      <c r="O49" s="56">
        <v>1890</v>
      </c>
      <c r="P49" s="56">
        <v>144</v>
      </c>
      <c r="Q49" s="56">
        <v>2034</v>
      </c>
      <c r="R49" s="56">
        <f t="shared" ref="R49:W49" si="104">R64</f>
        <v>1893</v>
      </c>
      <c r="S49" s="55">
        <f t="shared" si="104"/>
        <v>143</v>
      </c>
      <c r="T49" s="56">
        <f t="shared" si="104"/>
        <v>2036</v>
      </c>
      <c r="U49" s="56">
        <f t="shared" si="104"/>
        <v>1644</v>
      </c>
      <c r="V49" s="55">
        <f t="shared" si="104"/>
        <v>129</v>
      </c>
      <c r="W49" s="56">
        <f t="shared" si="104"/>
        <v>1773</v>
      </c>
      <c r="X49" s="56">
        <f t="shared" ref="X49:Z49" si="105">X64</f>
        <v>1929</v>
      </c>
      <c r="Y49" s="55">
        <f t="shared" si="105"/>
        <v>162</v>
      </c>
      <c r="Z49" s="56">
        <f t="shared" si="105"/>
        <v>2091</v>
      </c>
    </row>
    <row r="50" spans="2:33" x14ac:dyDescent="0.25">
      <c r="B50" s="41"/>
      <c r="C50" s="3"/>
      <c r="D50" s="3"/>
      <c r="E50" s="3"/>
      <c r="F50" s="3"/>
      <c r="G50" s="3"/>
      <c r="H50" s="3"/>
      <c r="I50" s="3"/>
      <c r="J50" s="3"/>
      <c r="K50" s="3"/>
      <c r="L50" s="3"/>
      <c r="M50" s="3"/>
      <c r="N50" s="3"/>
      <c r="U50" s="6"/>
      <c r="V50" s="6"/>
      <c r="W50" s="6"/>
      <c r="X50" s="6"/>
      <c r="Y50" s="6"/>
      <c r="Z50" s="6"/>
    </row>
    <row r="51" spans="2:33" x14ac:dyDescent="0.25">
      <c r="B51" s="91" t="s">
        <v>318</v>
      </c>
      <c r="C51" s="3"/>
      <c r="D51" s="3"/>
      <c r="E51" s="3"/>
      <c r="F51" s="3"/>
      <c r="G51" s="3"/>
      <c r="H51" s="3"/>
      <c r="I51" s="3"/>
      <c r="J51" s="3"/>
      <c r="K51" s="3"/>
      <c r="L51" s="3"/>
      <c r="M51" s="3"/>
      <c r="N51" s="3"/>
      <c r="U51" s="6"/>
      <c r="V51" s="6"/>
      <c r="W51" s="6"/>
      <c r="X51" s="6"/>
      <c r="Y51" s="6"/>
      <c r="Z51" s="6"/>
    </row>
    <row r="52" spans="2:33" x14ac:dyDescent="0.25">
      <c r="B52" s="14"/>
      <c r="C52" s="3"/>
      <c r="D52" s="3"/>
      <c r="E52" s="3"/>
      <c r="F52" s="3"/>
      <c r="G52" s="3"/>
      <c r="H52" s="3"/>
      <c r="I52" s="3"/>
      <c r="J52" s="3"/>
      <c r="K52" s="3"/>
      <c r="L52" s="3"/>
      <c r="M52" s="3"/>
      <c r="N52" s="3"/>
      <c r="U52" s="6"/>
      <c r="V52" s="6"/>
      <c r="W52" s="6"/>
      <c r="X52" s="6"/>
      <c r="Y52" s="6"/>
      <c r="Z52" s="6"/>
    </row>
    <row r="53" spans="2:33" x14ac:dyDescent="0.25">
      <c r="B53" s="14"/>
      <c r="C53" s="3"/>
      <c r="D53" s="3"/>
      <c r="E53" s="3"/>
      <c r="F53" s="3"/>
      <c r="G53" s="3"/>
      <c r="H53" s="3"/>
      <c r="I53" s="3"/>
      <c r="J53" s="3"/>
      <c r="K53" s="3"/>
      <c r="L53" s="3"/>
      <c r="M53" s="3"/>
      <c r="N53" s="3"/>
      <c r="U53" s="6"/>
      <c r="V53" s="6"/>
      <c r="W53" s="6"/>
      <c r="X53" s="6"/>
      <c r="Y53" s="6"/>
      <c r="Z53" s="6"/>
    </row>
    <row r="54" spans="2:33" x14ac:dyDescent="0.25">
      <c r="B54" s="54" t="s">
        <v>106</v>
      </c>
      <c r="C54" s="3"/>
      <c r="D54" s="3"/>
      <c r="E54" s="3"/>
      <c r="F54" s="3"/>
      <c r="G54" s="3"/>
      <c r="H54" s="3"/>
      <c r="I54" s="3"/>
      <c r="J54" s="3"/>
      <c r="K54" s="3"/>
      <c r="L54" s="3"/>
      <c r="M54" s="3"/>
      <c r="N54" s="3"/>
      <c r="U54" s="6"/>
      <c r="V54" s="6"/>
      <c r="W54" s="6"/>
      <c r="X54" s="6"/>
      <c r="Y54" s="6"/>
      <c r="Z54" s="6"/>
      <c r="AC54" s="161"/>
      <c r="AD54" s="161"/>
      <c r="AE54" s="161"/>
      <c r="AF54" s="161"/>
      <c r="AG54" s="161"/>
    </row>
    <row r="55" spans="2:33" x14ac:dyDescent="0.25">
      <c r="B55" s="2" t="s">
        <v>93</v>
      </c>
      <c r="C55" s="57">
        <v>520</v>
      </c>
      <c r="D55" s="57">
        <v>51</v>
      </c>
      <c r="E55" s="57">
        <f>SUM(C55:D55)</f>
        <v>571</v>
      </c>
      <c r="F55" s="57">
        <v>484</v>
      </c>
      <c r="G55" s="57">
        <v>53</v>
      </c>
      <c r="H55" s="57">
        <f>SUM(F55:G55)</f>
        <v>537</v>
      </c>
      <c r="I55" s="57">
        <v>448</v>
      </c>
      <c r="J55" s="57">
        <v>47</v>
      </c>
      <c r="K55" s="57">
        <f>SUM(I55:J55)</f>
        <v>495</v>
      </c>
      <c r="L55" s="57">
        <v>417</v>
      </c>
      <c r="M55" s="57">
        <v>47</v>
      </c>
      <c r="N55" s="57">
        <f>SUM(L55:M55)</f>
        <v>464</v>
      </c>
      <c r="O55" s="57">
        <v>407</v>
      </c>
      <c r="P55" s="57">
        <v>41</v>
      </c>
      <c r="Q55" s="57">
        <f>SUM(O55:P55)</f>
        <v>448</v>
      </c>
      <c r="R55" s="57">
        <v>390</v>
      </c>
      <c r="S55" s="57">
        <v>37</v>
      </c>
      <c r="T55" s="57">
        <f>SUM(R55:S55)</f>
        <v>427</v>
      </c>
      <c r="U55" s="57">
        <v>384</v>
      </c>
      <c r="V55" s="57">
        <v>29</v>
      </c>
      <c r="W55" s="57">
        <f>SUM(U55:V55)</f>
        <v>413</v>
      </c>
      <c r="X55" s="57">
        <v>412</v>
      </c>
      <c r="Y55" s="57">
        <v>41</v>
      </c>
      <c r="Z55" s="57">
        <f>SUM(X55:Y55)</f>
        <v>453</v>
      </c>
      <c r="AC55" s="161"/>
      <c r="AD55" s="161"/>
      <c r="AE55" s="161"/>
      <c r="AF55" s="161"/>
      <c r="AG55" s="161"/>
    </row>
    <row r="56" spans="2:33" x14ac:dyDescent="0.25">
      <c r="B56" s="2" t="s">
        <v>94</v>
      </c>
      <c r="C56" s="57">
        <v>369</v>
      </c>
      <c r="D56" s="57">
        <v>24</v>
      </c>
      <c r="E56" s="57">
        <f t="shared" ref="E56:E63" si="106">SUM(C56:D56)</f>
        <v>393</v>
      </c>
      <c r="F56" s="57">
        <v>335</v>
      </c>
      <c r="G56" s="57">
        <v>26</v>
      </c>
      <c r="H56" s="57">
        <f t="shared" ref="H56:H63" si="107">SUM(F56:G56)</f>
        <v>361</v>
      </c>
      <c r="I56" s="57">
        <v>373</v>
      </c>
      <c r="J56" s="57">
        <v>30</v>
      </c>
      <c r="K56" s="57">
        <f t="shared" ref="K56:K63" si="108">SUM(I56:J56)</f>
        <v>403</v>
      </c>
      <c r="L56" s="57">
        <v>319</v>
      </c>
      <c r="M56" s="57">
        <v>29</v>
      </c>
      <c r="N56" s="57">
        <f t="shared" ref="N56:N63" si="109">SUM(L56:M56)</f>
        <v>348</v>
      </c>
      <c r="O56" s="57">
        <v>292</v>
      </c>
      <c r="P56" s="57">
        <v>24</v>
      </c>
      <c r="Q56" s="57">
        <f t="shared" ref="Q56:Q63" si="110">SUM(O56:P56)</f>
        <v>316</v>
      </c>
      <c r="R56" s="57">
        <v>327</v>
      </c>
      <c r="S56" s="57">
        <v>26</v>
      </c>
      <c r="T56" s="57">
        <f t="shared" ref="T56:T63" si="111">SUM(R56:S56)</f>
        <v>353</v>
      </c>
      <c r="U56" s="57">
        <v>267</v>
      </c>
      <c r="V56" s="57">
        <v>22</v>
      </c>
      <c r="W56" s="57">
        <f t="shared" ref="W56:W63" si="112">SUM(U56:V56)</f>
        <v>289</v>
      </c>
      <c r="X56" s="57">
        <v>303</v>
      </c>
      <c r="Y56" s="57">
        <v>25</v>
      </c>
      <c r="Z56" s="57">
        <f t="shared" ref="Z56:Z63" si="113">SUM(X56:Y56)</f>
        <v>328</v>
      </c>
      <c r="AC56" s="161"/>
      <c r="AD56" s="161"/>
      <c r="AE56" s="161"/>
      <c r="AF56" s="161"/>
      <c r="AG56" s="161"/>
    </row>
    <row r="57" spans="2:33" x14ac:dyDescent="0.25">
      <c r="B57" s="2" t="s">
        <v>95</v>
      </c>
      <c r="C57" s="57">
        <v>397</v>
      </c>
      <c r="D57" s="57">
        <v>44</v>
      </c>
      <c r="E57" s="57">
        <f t="shared" si="106"/>
        <v>441</v>
      </c>
      <c r="F57" s="57">
        <v>397</v>
      </c>
      <c r="G57" s="57">
        <v>21</v>
      </c>
      <c r="H57" s="57">
        <f t="shared" si="107"/>
        <v>418</v>
      </c>
      <c r="I57" s="57">
        <v>387</v>
      </c>
      <c r="J57" s="57">
        <v>29</v>
      </c>
      <c r="K57" s="57">
        <f t="shared" si="108"/>
        <v>416</v>
      </c>
      <c r="L57" s="57">
        <v>419</v>
      </c>
      <c r="M57" s="57">
        <v>39</v>
      </c>
      <c r="N57" s="57">
        <f t="shared" si="109"/>
        <v>458</v>
      </c>
      <c r="O57" s="57">
        <v>408</v>
      </c>
      <c r="P57" s="57">
        <v>27</v>
      </c>
      <c r="Q57" s="57">
        <f t="shared" si="110"/>
        <v>435</v>
      </c>
      <c r="R57" s="57">
        <v>403</v>
      </c>
      <c r="S57" s="57">
        <v>23</v>
      </c>
      <c r="T57" s="57">
        <f t="shared" si="111"/>
        <v>426</v>
      </c>
      <c r="U57" s="57">
        <v>405</v>
      </c>
      <c r="V57" s="57">
        <v>22</v>
      </c>
      <c r="W57" s="57">
        <f t="shared" si="112"/>
        <v>427</v>
      </c>
      <c r="X57" s="57">
        <v>420</v>
      </c>
      <c r="Y57" s="57">
        <v>34</v>
      </c>
      <c r="Z57" s="57">
        <f t="shared" si="113"/>
        <v>454</v>
      </c>
      <c r="AC57" s="161"/>
      <c r="AD57" s="161"/>
      <c r="AE57" s="161"/>
      <c r="AF57" s="161"/>
      <c r="AG57" s="161"/>
    </row>
    <row r="58" spans="2:33" x14ac:dyDescent="0.25">
      <c r="B58" s="2" t="s">
        <v>96</v>
      </c>
      <c r="C58" s="57">
        <v>234</v>
      </c>
      <c r="D58" s="57">
        <v>15</v>
      </c>
      <c r="E58" s="57">
        <f t="shared" si="106"/>
        <v>249</v>
      </c>
      <c r="F58" s="57">
        <v>217</v>
      </c>
      <c r="G58" s="57">
        <v>11</v>
      </c>
      <c r="H58" s="57">
        <f t="shared" si="107"/>
        <v>228</v>
      </c>
      <c r="I58" s="57">
        <v>219</v>
      </c>
      <c r="J58" s="57">
        <v>16</v>
      </c>
      <c r="K58" s="57">
        <f t="shared" si="108"/>
        <v>235</v>
      </c>
      <c r="L58" s="57">
        <v>216</v>
      </c>
      <c r="M58" s="57">
        <v>12</v>
      </c>
      <c r="N58" s="57">
        <f t="shared" si="109"/>
        <v>228</v>
      </c>
      <c r="O58" s="57">
        <v>172</v>
      </c>
      <c r="P58" s="57">
        <v>9</v>
      </c>
      <c r="Q58" s="57">
        <f t="shared" si="110"/>
        <v>181</v>
      </c>
      <c r="R58" s="57">
        <v>170</v>
      </c>
      <c r="S58" s="57">
        <v>11</v>
      </c>
      <c r="T58" s="57">
        <f t="shared" si="111"/>
        <v>181</v>
      </c>
      <c r="U58" s="57">
        <v>121</v>
      </c>
      <c r="V58" s="57">
        <v>12</v>
      </c>
      <c r="W58" s="57">
        <f t="shared" si="112"/>
        <v>133</v>
      </c>
      <c r="X58" s="57">
        <v>157</v>
      </c>
      <c r="Y58" s="57">
        <v>10</v>
      </c>
      <c r="Z58" s="57">
        <f t="shared" si="113"/>
        <v>167</v>
      </c>
      <c r="AC58" s="161"/>
      <c r="AD58" s="161"/>
      <c r="AE58" s="161"/>
      <c r="AF58" s="161"/>
      <c r="AG58" s="161"/>
    </row>
    <row r="59" spans="2:33" x14ac:dyDescent="0.25">
      <c r="B59" s="2" t="s">
        <v>97</v>
      </c>
      <c r="C59" s="57">
        <v>153</v>
      </c>
      <c r="D59" s="57">
        <v>10</v>
      </c>
      <c r="E59" s="57">
        <f t="shared" si="106"/>
        <v>163</v>
      </c>
      <c r="F59" s="57">
        <v>141</v>
      </c>
      <c r="G59" s="57">
        <v>6</v>
      </c>
      <c r="H59" s="57">
        <f t="shared" si="107"/>
        <v>147</v>
      </c>
      <c r="I59" s="57">
        <v>199</v>
      </c>
      <c r="J59" s="57">
        <v>3</v>
      </c>
      <c r="K59" s="57">
        <f t="shared" si="108"/>
        <v>202</v>
      </c>
      <c r="L59" s="57">
        <v>168</v>
      </c>
      <c r="M59" s="57">
        <v>11</v>
      </c>
      <c r="N59" s="57">
        <f t="shared" si="109"/>
        <v>179</v>
      </c>
      <c r="O59" s="57">
        <v>164</v>
      </c>
      <c r="P59" s="57">
        <v>9</v>
      </c>
      <c r="Q59" s="57">
        <f t="shared" si="110"/>
        <v>173</v>
      </c>
      <c r="R59" s="57">
        <v>173</v>
      </c>
      <c r="S59" s="57">
        <v>13</v>
      </c>
      <c r="T59" s="57">
        <f t="shared" si="111"/>
        <v>186</v>
      </c>
      <c r="U59" s="57">
        <v>132</v>
      </c>
      <c r="V59" s="57">
        <v>13</v>
      </c>
      <c r="W59" s="57">
        <f t="shared" si="112"/>
        <v>145</v>
      </c>
      <c r="X59" s="57">
        <v>151</v>
      </c>
      <c r="Y59" s="57">
        <v>13</v>
      </c>
      <c r="Z59" s="57">
        <f t="shared" si="113"/>
        <v>164</v>
      </c>
      <c r="AC59" s="161"/>
      <c r="AD59" s="161"/>
      <c r="AE59" s="161"/>
      <c r="AF59" s="161"/>
      <c r="AG59" s="161"/>
    </row>
    <row r="60" spans="2:33" x14ac:dyDescent="0.25">
      <c r="B60" s="2" t="s">
        <v>98</v>
      </c>
      <c r="C60" s="57">
        <v>95</v>
      </c>
      <c r="D60" s="57">
        <v>2</v>
      </c>
      <c r="E60" s="57">
        <f t="shared" si="106"/>
        <v>97</v>
      </c>
      <c r="F60" s="57">
        <v>98</v>
      </c>
      <c r="G60" s="57">
        <v>1</v>
      </c>
      <c r="H60" s="57">
        <f t="shared" si="107"/>
        <v>99</v>
      </c>
      <c r="I60" s="57">
        <v>133</v>
      </c>
      <c r="J60" s="57">
        <v>2</v>
      </c>
      <c r="K60" s="57">
        <f t="shared" si="108"/>
        <v>135</v>
      </c>
      <c r="L60" s="57">
        <v>138</v>
      </c>
      <c r="M60" s="57">
        <v>2</v>
      </c>
      <c r="N60" s="57">
        <f t="shared" si="109"/>
        <v>140</v>
      </c>
      <c r="O60" s="57">
        <v>117</v>
      </c>
      <c r="P60" s="57">
        <v>1</v>
      </c>
      <c r="Q60" s="57">
        <f t="shared" si="110"/>
        <v>118</v>
      </c>
      <c r="R60" s="57">
        <v>110</v>
      </c>
      <c r="S60" s="57">
        <v>3</v>
      </c>
      <c r="T60" s="57">
        <f t="shared" si="111"/>
        <v>113</v>
      </c>
      <c r="U60" s="57">
        <v>106</v>
      </c>
      <c r="V60" s="57">
        <v>1</v>
      </c>
      <c r="W60" s="57">
        <f t="shared" si="112"/>
        <v>107</v>
      </c>
      <c r="X60" s="57">
        <v>128</v>
      </c>
      <c r="Y60" s="57">
        <v>6</v>
      </c>
      <c r="Z60" s="57">
        <f t="shared" si="113"/>
        <v>134</v>
      </c>
      <c r="AC60" s="161"/>
      <c r="AD60" s="161"/>
      <c r="AE60" s="161"/>
      <c r="AF60" s="161"/>
      <c r="AG60" s="161"/>
    </row>
    <row r="61" spans="2:33" x14ac:dyDescent="0.25">
      <c r="B61" s="2" t="s">
        <v>99</v>
      </c>
      <c r="C61" s="57">
        <v>140</v>
      </c>
      <c r="D61" s="57">
        <v>7</v>
      </c>
      <c r="E61" s="57">
        <f t="shared" si="106"/>
        <v>147</v>
      </c>
      <c r="F61" s="57">
        <v>122</v>
      </c>
      <c r="G61" s="57">
        <v>14</v>
      </c>
      <c r="H61" s="57">
        <f t="shared" si="107"/>
        <v>136</v>
      </c>
      <c r="I61" s="57">
        <v>137</v>
      </c>
      <c r="J61" s="57">
        <v>15</v>
      </c>
      <c r="K61" s="57">
        <f t="shared" si="108"/>
        <v>152</v>
      </c>
      <c r="L61" s="57">
        <v>132</v>
      </c>
      <c r="M61" s="57">
        <v>11</v>
      </c>
      <c r="N61" s="57">
        <f t="shared" si="109"/>
        <v>143</v>
      </c>
      <c r="O61" s="57">
        <v>152</v>
      </c>
      <c r="P61" s="57">
        <v>22</v>
      </c>
      <c r="Q61" s="57">
        <f t="shared" si="110"/>
        <v>174</v>
      </c>
      <c r="R61" s="57">
        <v>119</v>
      </c>
      <c r="S61" s="57">
        <v>23</v>
      </c>
      <c r="T61" s="57">
        <f t="shared" si="111"/>
        <v>142</v>
      </c>
      <c r="U61" s="57">
        <v>90</v>
      </c>
      <c r="V61" s="57">
        <v>18</v>
      </c>
      <c r="W61" s="57">
        <f t="shared" si="112"/>
        <v>108</v>
      </c>
      <c r="X61" s="57">
        <v>94</v>
      </c>
      <c r="Y61" s="57">
        <v>16</v>
      </c>
      <c r="Z61" s="57">
        <f t="shared" si="113"/>
        <v>110</v>
      </c>
      <c r="AC61" s="161"/>
      <c r="AD61" s="161"/>
      <c r="AE61" s="161"/>
      <c r="AF61" s="161"/>
      <c r="AG61" s="161"/>
    </row>
    <row r="62" spans="2:33" x14ac:dyDescent="0.25">
      <c r="B62" s="2" t="s">
        <v>100</v>
      </c>
      <c r="C62" s="57">
        <v>147</v>
      </c>
      <c r="D62" s="57">
        <v>8</v>
      </c>
      <c r="E62" s="57">
        <f t="shared" si="106"/>
        <v>155</v>
      </c>
      <c r="F62" s="57">
        <v>177</v>
      </c>
      <c r="G62" s="57">
        <v>9</v>
      </c>
      <c r="H62" s="57">
        <f t="shared" si="107"/>
        <v>186</v>
      </c>
      <c r="I62" s="57">
        <v>185</v>
      </c>
      <c r="J62" s="57">
        <v>10</v>
      </c>
      <c r="K62" s="57">
        <f t="shared" si="108"/>
        <v>195</v>
      </c>
      <c r="L62" s="57">
        <v>144</v>
      </c>
      <c r="M62" s="57">
        <v>6</v>
      </c>
      <c r="N62" s="57">
        <f t="shared" si="109"/>
        <v>150</v>
      </c>
      <c r="O62" s="57">
        <v>145</v>
      </c>
      <c r="P62" s="57">
        <v>10</v>
      </c>
      <c r="Q62" s="57">
        <f t="shared" si="110"/>
        <v>155</v>
      </c>
      <c r="R62" s="57">
        <v>170</v>
      </c>
      <c r="S62" s="57">
        <v>7</v>
      </c>
      <c r="T62" s="57">
        <f t="shared" si="111"/>
        <v>177</v>
      </c>
      <c r="U62" s="57">
        <v>117</v>
      </c>
      <c r="V62" s="57">
        <v>11</v>
      </c>
      <c r="W62" s="57">
        <f t="shared" si="112"/>
        <v>128</v>
      </c>
      <c r="X62" s="57">
        <v>233</v>
      </c>
      <c r="Y62" s="57">
        <v>15</v>
      </c>
      <c r="Z62" s="57">
        <f t="shared" si="113"/>
        <v>248</v>
      </c>
      <c r="AC62" s="161"/>
      <c r="AD62" s="161"/>
      <c r="AE62" s="161"/>
      <c r="AF62" s="161"/>
      <c r="AG62" s="161"/>
    </row>
    <row r="63" spans="2:33" x14ac:dyDescent="0.25">
      <c r="B63" s="2" t="s">
        <v>101</v>
      </c>
      <c r="C63" s="57">
        <v>25</v>
      </c>
      <c r="D63" s="57">
        <v>0</v>
      </c>
      <c r="E63" s="57">
        <f t="shared" si="106"/>
        <v>25</v>
      </c>
      <c r="F63" s="57">
        <v>28</v>
      </c>
      <c r="G63" s="57">
        <v>2</v>
      </c>
      <c r="H63" s="57">
        <f t="shared" si="107"/>
        <v>30</v>
      </c>
      <c r="I63" s="57">
        <v>63</v>
      </c>
      <c r="J63" s="57">
        <v>5</v>
      </c>
      <c r="K63" s="57">
        <f t="shared" si="108"/>
        <v>68</v>
      </c>
      <c r="L63" s="57">
        <v>30</v>
      </c>
      <c r="M63" s="57">
        <v>3</v>
      </c>
      <c r="N63" s="57">
        <f t="shared" si="109"/>
        <v>33</v>
      </c>
      <c r="O63" s="57">
        <v>33</v>
      </c>
      <c r="P63" s="57">
        <v>1</v>
      </c>
      <c r="Q63" s="57">
        <f t="shared" si="110"/>
        <v>34</v>
      </c>
      <c r="R63" s="57">
        <v>31</v>
      </c>
      <c r="S63" s="57">
        <v>0</v>
      </c>
      <c r="T63" s="57">
        <f t="shared" si="111"/>
        <v>31</v>
      </c>
      <c r="U63" s="57">
        <v>22</v>
      </c>
      <c r="V63" s="57">
        <v>1</v>
      </c>
      <c r="W63" s="57">
        <f t="shared" si="112"/>
        <v>23</v>
      </c>
      <c r="X63" s="57">
        <v>31</v>
      </c>
      <c r="Y63" s="57">
        <v>2</v>
      </c>
      <c r="Z63" s="57">
        <f t="shared" si="113"/>
        <v>33</v>
      </c>
      <c r="AC63" s="161"/>
      <c r="AD63" s="161"/>
      <c r="AE63" s="161"/>
      <c r="AF63" s="161"/>
      <c r="AG63" s="161"/>
    </row>
    <row r="64" spans="2:33" x14ac:dyDescent="0.25">
      <c r="B64" s="6"/>
      <c r="C64" s="58">
        <f>SUM(C55:C63)</f>
        <v>2080</v>
      </c>
      <c r="D64" s="57">
        <f t="shared" ref="D64:Q64" si="114">SUM(D55:D63)</f>
        <v>161</v>
      </c>
      <c r="E64" s="58">
        <f t="shared" si="114"/>
        <v>2241</v>
      </c>
      <c r="F64" s="58">
        <f t="shared" si="114"/>
        <v>1999</v>
      </c>
      <c r="G64" s="57">
        <f t="shared" si="114"/>
        <v>143</v>
      </c>
      <c r="H64" s="58">
        <f t="shared" si="114"/>
        <v>2142</v>
      </c>
      <c r="I64" s="58">
        <f t="shared" si="114"/>
        <v>2144</v>
      </c>
      <c r="J64" s="57">
        <f t="shared" si="114"/>
        <v>157</v>
      </c>
      <c r="K64" s="58">
        <f t="shared" si="114"/>
        <v>2301</v>
      </c>
      <c r="L64" s="58">
        <f t="shared" si="114"/>
        <v>1983</v>
      </c>
      <c r="M64" s="57">
        <f t="shared" si="114"/>
        <v>160</v>
      </c>
      <c r="N64" s="58">
        <f t="shared" si="114"/>
        <v>2143</v>
      </c>
      <c r="O64" s="58">
        <f t="shared" si="114"/>
        <v>1890</v>
      </c>
      <c r="P64" s="58">
        <f t="shared" si="114"/>
        <v>144</v>
      </c>
      <c r="Q64" s="58">
        <f t="shared" si="114"/>
        <v>2034</v>
      </c>
      <c r="R64" s="58">
        <f>SUM(R55:R63)</f>
        <v>1893</v>
      </c>
      <c r="S64" s="58">
        <f t="shared" ref="S64" si="115">SUM(S55:S63)</f>
        <v>143</v>
      </c>
      <c r="T64" s="58">
        <f>SUM(T55:T63)</f>
        <v>2036</v>
      </c>
      <c r="U64" s="58">
        <f>SUM(U55:U63)</f>
        <v>1644</v>
      </c>
      <c r="V64" s="58">
        <f t="shared" ref="V64" si="116">SUM(V55:V63)</f>
        <v>129</v>
      </c>
      <c r="W64" s="58">
        <f>SUM(W55:W63)</f>
        <v>1773</v>
      </c>
      <c r="X64" s="58">
        <f>SUM(X55:X63)</f>
        <v>1929</v>
      </c>
      <c r="Y64" s="58">
        <f t="shared" ref="Y64" si="117">SUM(Y55:Y63)</f>
        <v>162</v>
      </c>
      <c r="Z64" s="58">
        <f>SUM(Z55:Z63)</f>
        <v>2091</v>
      </c>
      <c r="AC64" s="161"/>
      <c r="AD64" s="161"/>
      <c r="AE64" s="161"/>
      <c r="AF64" s="161"/>
      <c r="AG64" s="161"/>
    </row>
    <row r="65" spans="2:33" x14ac:dyDescent="0.25">
      <c r="B65" s="6"/>
      <c r="X65" s="161"/>
      <c r="Y65" s="161"/>
      <c r="Z65" s="161"/>
      <c r="AC65" s="161"/>
      <c r="AD65" s="161"/>
      <c r="AE65" s="161"/>
      <c r="AF65" s="161"/>
      <c r="AG65" s="161"/>
    </row>
    <row r="66" spans="2:33" x14ac:dyDescent="0.25">
      <c r="X66" s="161"/>
      <c r="Y66" s="161"/>
      <c r="Z66" s="161"/>
      <c r="AC66" s="161"/>
      <c r="AD66" s="161"/>
      <c r="AE66" s="161"/>
      <c r="AF66" s="161"/>
      <c r="AG66" s="161"/>
    </row>
    <row r="67" spans="2:33" x14ac:dyDescent="0.25">
      <c r="X67" s="161"/>
      <c r="Y67" s="161"/>
      <c r="Z67" s="161"/>
      <c r="AC67" s="161"/>
      <c r="AD67" s="161"/>
      <c r="AE67" s="161"/>
      <c r="AF67" s="161"/>
      <c r="AG67" s="161"/>
    </row>
    <row r="68" spans="2:33" ht="18.75" x14ac:dyDescent="0.3">
      <c r="B68" s="18" t="s">
        <v>133</v>
      </c>
      <c r="C68" s="186">
        <v>2014</v>
      </c>
      <c r="D68" s="186"/>
      <c r="E68" s="186"/>
      <c r="F68" s="186">
        <v>2015</v>
      </c>
      <c r="G68" s="186"/>
      <c r="H68" s="186"/>
      <c r="I68" s="186">
        <v>2016</v>
      </c>
      <c r="J68" s="186"/>
      <c r="K68" s="186"/>
      <c r="L68" s="186">
        <v>2017</v>
      </c>
      <c r="M68" s="186"/>
      <c r="N68" s="186"/>
      <c r="O68" s="186">
        <v>2018</v>
      </c>
      <c r="P68" s="186"/>
      <c r="Q68" s="186"/>
      <c r="R68" s="186">
        <v>2019</v>
      </c>
      <c r="S68" s="186"/>
      <c r="T68" s="186"/>
      <c r="U68" s="186">
        <v>2020</v>
      </c>
      <c r="V68" s="186"/>
      <c r="W68" s="186"/>
      <c r="X68" s="186">
        <v>2021</v>
      </c>
      <c r="Y68" s="186"/>
      <c r="Z68" s="186"/>
      <c r="AC68" s="161"/>
      <c r="AD68" s="161"/>
      <c r="AE68" s="161"/>
      <c r="AF68" s="161"/>
      <c r="AG68" s="161"/>
    </row>
    <row r="69" spans="2:33" ht="18.75" x14ac:dyDescent="0.3">
      <c r="B69" s="20"/>
      <c r="C69" s="53" t="s">
        <v>104</v>
      </c>
      <c r="D69" s="53" t="s">
        <v>105</v>
      </c>
      <c r="E69" s="53" t="s">
        <v>84</v>
      </c>
      <c r="F69" s="53" t="s">
        <v>104</v>
      </c>
      <c r="G69" s="53" t="s">
        <v>105</v>
      </c>
      <c r="H69" s="53" t="s">
        <v>84</v>
      </c>
      <c r="I69" s="53" t="s">
        <v>104</v>
      </c>
      <c r="J69" s="53" t="s">
        <v>105</v>
      </c>
      <c r="K69" s="53" t="s">
        <v>84</v>
      </c>
      <c r="L69" s="53" t="s">
        <v>104</v>
      </c>
      <c r="M69" s="53" t="s">
        <v>105</v>
      </c>
      <c r="N69" s="53" t="s">
        <v>84</v>
      </c>
      <c r="O69" s="53" t="s">
        <v>104</v>
      </c>
      <c r="P69" s="53" t="s">
        <v>105</v>
      </c>
      <c r="Q69" s="53" t="s">
        <v>84</v>
      </c>
      <c r="R69" s="53" t="s">
        <v>104</v>
      </c>
      <c r="S69" s="53" t="s">
        <v>105</v>
      </c>
      <c r="T69" s="53" t="s">
        <v>84</v>
      </c>
      <c r="U69" s="53" t="s">
        <v>104</v>
      </c>
      <c r="V69" s="53" t="s">
        <v>105</v>
      </c>
      <c r="W69" s="53" t="s">
        <v>84</v>
      </c>
      <c r="X69" s="53" t="s">
        <v>104</v>
      </c>
      <c r="Y69" s="53" t="s">
        <v>105</v>
      </c>
      <c r="Z69" s="53" t="s">
        <v>84</v>
      </c>
      <c r="AC69" s="161"/>
      <c r="AD69" s="161"/>
      <c r="AE69" s="161"/>
      <c r="AF69" s="161"/>
      <c r="AG69" s="161"/>
    </row>
    <row r="70" spans="2:33" x14ac:dyDescent="0.25">
      <c r="B70" s="54" t="s">
        <v>300</v>
      </c>
      <c r="C70" s="22"/>
      <c r="D70" s="22"/>
      <c r="E70" s="22"/>
      <c r="F70" s="22"/>
      <c r="G70" s="22"/>
      <c r="H70" s="22"/>
      <c r="I70" s="22"/>
      <c r="X70" s="161"/>
      <c r="Y70" s="161"/>
      <c r="Z70" s="161"/>
      <c r="AC70" s="161"/>
      <c r="AD70" s="161"/>
      <c r="AE70" s="161"/>
      <c r="AF70" s="161"/>
      <c r="AG70" s="161"/>
    </row>
    <row r="71" spans="2:33" x14ac:dyDescent="0.25">
      <c r="B71" s="2" t="s">
        <v>93</v>
      </c>
      <c r="C71" s="55">
        <f t="shared" ref="C71" si="118">C87/C96*100</f>
        <v>11.25</v>
      </c>
      <c r="D71" s="55">
        <f>D87/D96*100</f>
        <v>0</v>
      </c>
      <c r="E71" s="55">
        <f t="shared" ref="E71" si="119">E87/E96*100</f>
        <v>10.650887573964498</v>
      </c>
      <c r="F71" s="55">
        <f>F87/F96*100</f>
        <v>11.564625850340136</v>
      </c>
      <c r="G71" s="55">
        <f>G87/G96*100</f>
        <v>0</v>
      </c>
      <c r="H71" s="55">
        <f t="shared" ref="H71" si="120">H87/H96*100</f>
        <v>11.409395973154362</v>
      </c>
      <c r="I71" s="55">
        <f>I87/I96*100</f>
        <v>11.965811965811966</v>
      </c>
      <c r="J71" s="55">
        <f>J87/J96*100</f>
        <v>16.666666666666664</v>
      </c>
      <c r="K71" s="55">
        <f t="shared" ref="K71" si="121">K87/K96*100</f>
        <v>12.195121951219512</v>
      </c>
      <c r="L71" s="55">
        <f t="shared" ref="L71:Q71" si="122">L87/L96*100</f>
        <v>9.7560975609756095</v>
      </c>
      <c r="M71" s="55">
        <f t="shared" si="122"/>
        <v>11.111111111111111</v>
      </c>
      <c r="N71" s="55">
        <f t="shared" si="122"/>
        <v>9.8484848484848477</v>
      </c>
      <c r="O71" s="55">
        <f t="shared" si="122"/>
        <v>9.6</v>
      </c>
      <c r="P71" s="55">
        <f t="shared" si="122"/>
        <v>20</v>
      </c>
      <c r="Q71" s="55">
        <f t="shared" si="122"/>
        <v>10</v>
      </c>
      <c r="R71" s="55">
        <f t="shared" ref="R71:T71" si="123">R87/R96*100</f>
        <v>11.111111111111111</v>
      </c>
      <c r="S71" s="55">
        <f t="shared" si="123"/>
        <v>16.666666666666664</v>
      </c>
      <c r="T71" s="55">
        <f t="shared" si="123"/>
        <v>11.564625850340136</v>
      </c>
      <c r="U71" s="55">
        <f t="shared" ref="U71:W71" si="124">U87/U96*100</f>
        <v>13.725490196078432</v>
      </c>
      <c r="V71" s="55">
        <f t="shared" si="124"/>
        <v>42.857142857142854</v>
      </c>
      <c r="W71" s="55">
        <f t="shared" si="124"/>
        <v>15.596330275229359</v>
      </c>
      <c r="X71" s="55">
        <f t="shared" ref="X71:Z71" si="125">X87/X96*100</f>
        <v>10.526315789473683</v>
      </c>
      <c r="Y71" s="55">
        <f t="shared" si="125"/>
        <v>10</v>
      </c>
      <c r="Z71" s="55">
        <f t="shared" si="125"/>
        <v>10.48951048951049</v>
      </c>
    </row>
    <row r="72" spans="2:33" x14ac:dyDescent="0.25">
      <c r="B72" s="2" t="s">
        <v>94</v>
      </c>
      <c r="C72" s="55">
        <f t="shared" ref="C72" si="126">C88/C96*100</f>
        <v>15</v>
      </c>
      <c r="D72" s="55">
        <f>D88/D96*100</f>
        <v>11.111111111111111</v>
      </c>
      <c r="E72" s="55">
        <f t="shared" ref="E72:F72" si="127">E88/E96*100</f>
        <v>14.792899408284024</v>
      </c>
      <c r="F72" s="55">
        <f t="shared" si="127"/>
        <v>17.687074829931973</v>
      </c>
      <c r="G72" s="55">
        <f>G88/G96*100</f>
        <v>0</v>
      </c>
      <c r="H72" s="55">
        <f t="shared" ref="H72:I72" si="128">H88/H96*100</f>
        <v>17.449664429530202</v>
      </c>
      <c r="I72" s="55">
        <f t="shared" si="128"/>
        <v>14.529914529914532</v>
      </c>
      <c r="J72" s="55">
        <f>J88/J96*100</f>
        <v>0</v>
      </c>
      <c r="K72" s="55">
        <f t="shared" ref="K72:L72" si="129">K88/K96*100</f>
        <v>13.821138211382115</v>
      </c>
      <c r="L72" s="55">
        <f t="shared" si="129"/>
        <v>17.886178861788618</v>
      </c>
      <c r="M72" s="55">
        <f>M88/M96*100</f>
        <v>0</v>
      </c>
      <c r="N72" s="55">
        <f>N88/N96*100</f>
        <v>16.666666666666664</v>
      </c>
      <c r="O72" s="55">
        <f t="shared" ref="O72" si="130">O88/O96*100</f>
        <v>13.600000000000001</v>
      </c>
      <c r="P72" s="55">
        <f>P88/P96*100</f>
        <v>0</v>
      </c>
      <c r="Q72" s="55">
        <f>Q88/Q96*100</f>
        <v>13.076923076923078</v>
      </c>
      <c r="R72" s="55">
        <f t="shared" ref="R72" si="131">R88/R96*100</f>
        <v>11.851851851851853</v>
      </c>
      <c r="S72" s="55">
        <f>S88/S96*100</f>
        <v>0</v>
      </c>
      <c r="T72" s="55">
        <f>T88/T96*100</f>
        <v>10.884353741496598</v>
      </c>
      <c r="U72" s="55">
        <f t="shared" ref="U72" si="132">U88/U96*100</f>
        <v>9.8039215686274517</v>
      </c>
      <c r="V72" s="55">
        <f>V88/V96*100</f>
        <v>0</v>
      </c>
      <c r="W72" s="55">
        <f>W88/W96*100</f>
        <v>9.1743119266055047</v>
      </c>
      <c r="X72" s="55">
        <f t="shared" ref="X72" si="133">X88/X96*100</f>
        <v>9.7744360902255636</v>
      </c>
      <c r="Y72" s="55">
        <f>Y88/Y96*100</f>
        <v>10</v>
      </c>
      <c r="Z72" s="55">
        <f>Z88/Z96*100</f>
        <v>9.79020979020979</v>
      </c>
    </row>
    <row r="73" spans="2:33" x14ac:dyDescent="0.25">
      <c r="B73" s="2" t="s">
        <v>95</v>
      </c>
      <c r="C73" s="55">
        <f t="shared" ref="C73:Q73" si="134">C89/C96*100</f>
        <v>31.25</v>
      </c>
      <c r="D73" s="55">
        <f t="shared" si="134"/>
        <v>33.333333333333329</v>
      </c>
      <c r="E73" s="55">
        <f t="shared" si="134"/>
        <v>31.360946745562128</v>
      </c>
      <c r="F73" s="55">
        <f t="shared" si="134"/>
        <v>27.89115646258503</v>
      </c>
      <c r="G73" s="55">
        <f t="shared" si="134"/>
        <v>50</v>
      </c>
      <c r="H73" s="55">
        <f t="shared" si="134"/>
        <v>28.187919463087248</v>
      </c>
      <c r="I73" s="55">
        <f t="shared" si="134"/>
        <v>24.786324786324787</v>
      </c>
      <c r="J73" s="55">
        <f t="shared" si="134"/>
        <v>66.666666666666657</v>
      </c>
      <c r="K73" s="55">
        <f t="shared" si="134"/>
        <v>26.829268292682929</v>
      </c>
      <c r="L73" s="55">
        <f t="shared" si="134"/>
        <v>30.081300813008134</v>
      </c>
      <c r="M73" s="55">
        <f t="shared" si="134"/>
        <v>44.444444444444443</v>
      </c>
      <c r="N73" s="55">
        <f t="shared" si="134"/>
        <v>31.060606060606062</v>
      </c>
      <c r="O73" s="55">
        <f t="shared" si="134"/>
        <v>29.599999999999998</v>
      </c>
      <c r="P73" s="55">
        <f t="shared" si="134"/>
        <v>40</v>
      </c>
      <c r="Q73" s="55">
        <f t="shared" si="134"/>
        <v>30</v>
      </c>
      <c r="R73" s="55">
        <f t="shared" ref="R73:T73" si="135">R89/R96*100</f>
        <v>28.888888888888886</v>
      </c>
      <c r="S73" s="55">
        <f t="shared" si="135"/>
        <v>41.666666666666671</v>
      </c>
      <c r="T73" s="55">
        <f t="shared" si="135"/>
        <v>29.931972789115648</v>
      </c>
      <c r="U73" s="55">
        <f t="shared" ref="U73:W73" si="136">U89/U96*100</f>
        <v>39.215686274509807</v>
      </c>
      <c r="V73" s="55">
        <f t="shared" si="136"/>
        <v>28.571428571428569</v>
      </c>
      <c r="W73" s="55">
        <f t="shared" si="136"/>
        <v>38.532110091743121</v>
      </c>
      <c r="X73" s="55">
        <f t="shared" ref="X73:Z73" si="137">X89/X96*100</f>
        <v>42.105263157894733</v>
      </c>
      <c r="Y73" s="55">
        <f t="shared" si="137"/>
        <v>40</v>
      </c>
      <c r="Z73" s="55">
        <f t="shared" si="137"/>
        <v>41.95804195804196</v>
      </c>
    </row>
    <row r="74" spans="2:33" x14ac:dyDescent="0.25">
      <c r="B74" s="2" t="s">
        <v>96</v>
      </c>
      <c r="C74" s="55">
        <f t="shared" ref="C74:P74" si="138">C90/C96*100</f>
        <v>6.8750000000000009</v>
      </c>
      <c r="D74" s="55">
        <f t="shared" si="138"/>
        <v>33.333333333333329</v>
      </c>
      <c r="E74" s="55">
        <f t="shared" si="138"/>
        <v>8.2840236686390547</v>
      </c>
      <c r="F74" s="55">
        <f t="shared" si="138"/>
        <v>6.1224489795918364</v>
      </c>
      <c r="G74" s="55">
        <f t="shared" si="138"/>
        <v>50</v>
      </c>
      <c r="H74" s="55">
        <f t="shared" si="138"/>
        <v>6.7114093959731544</v>
      </c>
      <c r="I74" s="55">
        <f t="shared" si="138"/>
        <v>5.1282051282051277</v>
      </c>
      <c r="J74" s="55">
        <f t="shared" si="138"/>
        <v>0</v>
      </c>
      <c r="K74" s="55">
        <f t="shared" si="138"/>
        <v>4.8780487804878048</v>
      </c>
      <c r="L74" s="55">
        <f t="shared" si="138"/>
        <v>6.5040650406504072</v>
      </c>
      <c r="M74" s="55">
        <f t="shared" si="138"/>
        <v>22.222222222222221</v>
      </c>
      <c r="N74" s="55">
        <f>N90/N96*100</f>
        <v>7.5757575757575761</v>
      </c>
      <c r="O74" s="55">
        <f t="shared" si="138"/>
        <v>10.4</v>
      </c>
      <c r="P74" s="55">
        <f t="shared" si="138"/>
        <v>20</v>
      </c>
      <c r="Q74" s="55">
        <f>Q90/Q96*100</f>
        <v>10.76923076923077</v>
      </c>
      <c r="R74" s="55">
        <f t="shared" ref="R74:S74" si="139">R90/R96*100</f>
        <v>8.8888888888888893</v>
      </c>
      <c r="S74" s="55">
        <f t="shared" si="139"/>
        <v>16.666666666666664</v>
      </c>
      <c r="T74" s="55">
        <f>T90/T96*100</f>
        <v>9.5238095238095237</v>
      </c>
      <c r="U74" s="55">
        <f t="shared" ref="U74:V74" si="140">U90/U96*100</f>
        <v>7.8431372549019605</v>
      </c>
      <c r="V74" s="55">
        <f t="shared" si="140"/>
        <v>0</v>
      </c>
      <c r="W74" s="55">
        <f>W90/W96*100</f>
        <v>7.3394495412844041</v>
      </c>
      <c r="X74" s="55">
        <f t="shared" ref="X74:Y74" si="141">X90/X96*100</f>
        <v>5.2631578947368416</v>
      </c>
      <c r="Y74" s="55">
        <f t="shared" si="141"/>
        <v>10</v>
      </c>
      <c r="Z74" s="55">
        <f>Z90/Z96*100</f>
        <v>5.5944055944055942</v>
      </c>
    </row>
    <row r="75" spans="2:33" x14ac:dyDescent="0.25">
      <c r="B75" s="2" t="s">
        <v>97</v>
      </c>
      <c r="C75" s="55">
        <f t="shared" ref="C75:Q75" si="142">C91/C96*100</f>
        <v>4.375</v>
      </c>
      <c r="D75" s="55">
        <f t="shared" si="142"/>
        <v>0</v>
      </c>
      <c r="E75" s="55">
        <f t="shared" si="142"/>
        <v>4.1420118343195274</v>
      </c>
      <c r="F75" s="55">
        <f t="shared" si="142"/>
        <v>3.4013605442176873</v>
      </c>
      <c r="G75" s="55">
        <f t="shared" si="142"/>
        <v>0</v>
      </c>
      <c r="H75" s="55">
        <f t="shared" si="142"/>
        <v>3.3557046979865772</v>
      </c>
      <c r="I75" s="55">
        <f t="shared" si="142"/>
        <v>5.1282051282051277</v>
      </c>
      <c r="J75" s="55">
        <f t="shared" si="142"/>
        <v>0</v>
      </c>
      <c r="K75" s="55">
        <f t="shared" si="142"/>
        <v>4.8780487804878048</v>
      </c>
      <c r="L75" s="55">
        <f t="shared" si="142"/>
        <v>4.8780487804878048</v>
      </c>
      <c r="M75" s="55">
        <f t="shared" si="142"/>
        <v>0</v>
      </c>
      <c r="N75" s="55">
        <f t="shared" si="142"/>
        <v>4.5454545454545459</v>
      </c>
      <c r="O75" s="55">
        <f t="shared" si="142"/>
        <v>4</v>
      </c>
      <c r="P75" s="55">
        <f t="shared" si="142"/>
        <v>0</v>
      </c>
      <c r="Q75" s="55">
        <f t="shared" si="142"/>
        <v>3.8461538461538463</v>
      </c>
      <c r="R75" s="55">
        <f t="shared" ref="R75:T75" si="143">R91/R96*100</f>
        <v>3.7037037037037033</v>
      </c>
      <c r="S75" s="55">
        <f t="shared" si="143"/>
        <v>0</v>
      </c>
      <c r="T75" s="55">
        <f t="shared" si="143"/>
        <v>3.4013605442176873</v>
      </c>
      <c r="U75" s="55">
        <f t="shared" ref="U75:W75" si="144">U91/U96*100</f>
        <v>4.9019607843137258</v>
      </c>
      <c r="V75" s="55">
        <f t="shared" si="144"/>
        <v>0</v>
      </c>
      <c r="W75" s="55">
        <f t="shared" si="144"/>
        <v>4.5871559633027523</v>
      </c>
      <c r="X75" s="55">
        <f t="shared" ref="X75:Z75" si="145">X91/X96*100</f>
        <v>5.2631578947368416</v>
      </c>
      <c r="Y75" s="55">
        <f t="shared" si="145"/>
        <v>10</v>
      </c>
      <c r="Z75" s="55">
        <f t="shared" si="145"/>
        <v>5.5944055944055942</v>
      </c>
    </row>
    <row r="76" spans="2:33" x14ac:dyDescent="0.25">
      <c r="B76" s="2" t="s">
        <v>98</v>
      </c>
      <c r="C76" s="55">
        <f t="shared" ref="C76:Q76" si="146">C92/C96*100</f>
        <v>16.875</v>
      </c>
      <c r="D76" s="55">
        <f t="shared" si="146"/>
        <v>0</v>
      </c>
      <c r="E76" s="55">
        <f t="shared" si="146"/>
        <v>15.976331360946746</v>
      </c>
      <c r="F76" s="55">
        <f t="shared" si="146"/>
        <v>14.965986394557824</v>
      </c>
      <c r="G76" s="55">
        <f t="shared" si="146"/>
        <v>0</v>
      </c>
      <c r="H76" s="55">
        <f t="shared" si="146"/>
        <v>14.76510067114094</v>
      </c>
      <c r="I76" s="55">
        <f t="shared" si="146"/>
        <v>20.512820512820511</v>
      </c>
      <c r="J76" s="55">
        <f t="shared" si="146"/>
        <v>0</v>
      </c>
      <c r="K76" s="55">
        <f t="shared" si="146"/>
        <v>19.512195121951219</v>
      </c>
      <c r="L76" s="55">
        <f t="shared" si="146"/>
        <v>21.138211382113823</v>
      </c>
      <c r="M76" s="55">
        <f t="shared" si="146"/>
        <v>0</v>
      </c>
      <c r="N76" s="55">
        <f t="shared" si="146"/>
        <v>19.696969696969695</v>
      </c>
      <c r="O76" s="55">
        <f t="shared" si="146"/>
        <v>12.8</v>
      </c>
      <c r="P76" s="55">
        <f t="shared" si="146"/>
        <v>0</v>
      </c>
      <c r="Q76" s="55">
        <f t="shared" si="146"/>
        <v>12.307692307692308</v>
      </c>
      <c r="R76" s="55">
        <f t="shared" ref="R76:T76" si="147">R92/R96*100</f>
        <v>16.296296296296298</v>
      </c>
      <c r="S76" s="55">
        <f t="shared" si="147"/>
        <v>0</v>
      </c>
      <c r="T76" s="55">
        <f t="shared" si="147"/>
        <v>14.965986394557824</v>
      </c>
      <c r="U76" s="55">
        <f t="shared" ref="U76:W76" si="148">U92/U96*100</f>
        <v>14.705882352941178</v>
      </c>
      <c r="V76" s="55">
        <f t="shared" si="148"/>
        <v>14.285714285714285</v>
      </c>
      <c r="W76" s="55">
        <f t="shared" si="148"/>
        <v>14.678899082568808</v>
      </c>
      <c r="X76" s="55">
        <f t="shared" ref="X76:Z76" si="149">X92/X96*100</f>
        <v>12.781954887218044</v>
      </c>
      <c r="Y76" s="55">
        <f t="shared" si="149"/>
        <v>0</v>
      </c>
      <c r="Z76" s="55">
        <f t="shared" si="149"/>
        <v>11.888111888111888</v>
      </c>
    </row>
    <row r="77" spans="2:33" x14ac:dyDescent="0.25">
      <c r="B77" s="2" t="s">
        <v>99</v>
      </c>
      <c r="C77" s="55">
        <f t="shared" ref="C77:Q77" si="150">C93/C96*100</f>
        <v>5.625</v>
      </c>
      <c r="D77" s="55">
        <f t="shared" si="150"/>
        <v>0</v>
      </c>
      <c r="E77" s="55">
        <f t="shared" si="150"/>
        <v>5.3254437869822491</v>
      </c>
      <c r="F77" s="55">
        <f t="shared" si="150"/>
        <v>6.8027210884353746</v>
      </c>
      <c r="G77" s="55">
        <f t="shared" si="150"/>
        <v>0</v>
      </c>
      <c r="H77" s="55">
        <f t="shared" si="150"/>
        <v>6.7114093959731544</v>
      </c>
      <c r="I77" s="55">
        <f t="shared" si="150"/>
        <v>8.5470085470085468</v>
      </c>
      <c r="J77" s="55">
        <f t="shared" si="150"/>
        <v>0</v>
      </c>
      <c r="K77" s="55">
        <f t="shared" si="150"/>
        <v>8.1300813008130071</v>
      </c>
      <c r="L77" s="55">
        <f t="shared" si="150"/>
        <v>0.81300813008130091</v>
      </c>
      <c r="M77" s="55">
        <f t="shared" si="150"/>
        <v>0</v>
      </c>
      <c r="N77" s="55">
        <f t="shared" si="150"/>
        <v>0.75757575757575757</v>
      </c>
      <c r="O77" s="55">
        <f t="shared" si="150"/>
        <v>0.8</v>
      </c>
      <c r="P77" s="55">
        <f t="shared" si="150"/>
        <v>0</v>
      </c>
      <c r="Q77" s="55">
        <f t="shared" si="150"/>
        <v>0.76923076923076927</v>
      </c>
      <c r="R77" s="55">
        <f t="shared" ref="R77:T77" si="151">R93/R96*100</f>
        <v>0.74074074074074081</v>
      </c>
      <c r="S77" s="55">
        <f t="shared" si="151"/>
        <v>0</v>
      </c>
      <c r="T77" s="55">
        <f t="shared" si="151"/>
        <v>0.68027210884353739</v>
      </c>
      <c r="U77" s="55">
        <f t="shared" ref="U77:W77" si="152">U93/U96*100</f>
        <v>0</v>
      </c>
      <c r="V77" s="55">
        <f t="shared" si="152"/>
        <v>0</v>
      </c>
      <c r="W77" s="55">
        <f t="shared" si="152"/>
        <v>0</v>
      </c>
      <c r="X77" s="55">
        <f t="shared" ref="X77:Z77" si="153">X93/X96*100</f>
        <v>0.75187969924812026</v>
      </c>
      <c r="Y77" s="55">
        <f t="shared" si="153"/>
        <v>0</v>
      </c>
      <c r="Z77" s="55">
        <f t="shared" si="153"/>
        <v>0.69930069930069927</v>
      </c>
    </row>
    <row r="78" spans="2:33" x14ac:dyDescent="0.25">
      <c r="B78" s="2" t="s">
        <v>100</v>
      </c>
      <c r="C78" s="55">
        <f t="shared" ref="C78:Q78" si="154">C94/C96*100</f>
        <v>6.8750000000000009</v>
      </c>
      <c r="D78" s="55">
        <f t="shared" si="154"/>
        <v>0</v>
      </c>
      <c r="E78" s="55">
        <f t="shared" si="154"/>
        <v>6.5088757396449708</v>
      </c>
      <c r="F78" s="55">
        <f t="shared" si="154"/>
        <v>10.204081632653061</v>
      </c>
      <c r="G78" s="55">
        <f t="shared" si="154"/>
        <v>0</v>
      </c>
      <c r="H78" s="55">
        <f t="shared" si="154"/>
        <v>10.067114093959731</v>
      </c>
      <c r="I78" s="55">
        <f t="shared" si="154"/>
        <v>4.2735042735042734</v>
      </c>
      <c r="J78" s="55">
        <f t="shared" si="154"/>
        <v>0</v>
      </c>
      <c r="K78" s="55">
        <f t="shared" si="154"/>
        <v>4.0650406504065035</v>
      </c>
      <c r="L78" s="55">
        <f t="shared" si="154"/>
        <v>7.3170731707317067</v>
      </c>
      <c r="M78" s="55">
        <f t="shared" si="154"/>
        <v>11.111111111111111</v>
      </c>
      <c r="N78" s="55">
        <f t="shared" si="154"/>
        <v>7.5757575757575761</v>
      </c>
      <c r="O78" s="55">
        <f t="shared" si="154"/>
        <v>16.8</v>
      </c>
      <c r="P78" s="55">
        <f t="shared" si="154"/>
        <v>20</v>
      </c>
      <c r="Q78" s="55">
        <f t="shared" si="154"/>
        <v>16.923076923076923</v>
      </c>
      <c r="R78" s="55">
        <f t="shared" ref="R78:T78" si="155">R94/R96*100</f>
        <v>17.037037037037038</v>
      </c>
      <c r="S78" s="55">
        <f t="shared" si="155"/>
        <v>25</v>
      </c>
      <c r="T78" s="55">
        <f t="shared" si="155"/>
        <v>17.687074829931973</v>
      </c>
      <c r="U78" s="55">
        <f t="shared" ref="U78:W78" si="156">U94/U96*100</f>
        <v>7.8431372549019605</v>
      </c>
      <c r="V78" s="55">
        <f t="shared" si="156"/>
        <v>0</v>
      </c>
      <c r="W78" s="55">
        <f t="shared" si="156"/>
        <v>7.3394495412844041</v>
      </c>
      <c r="X78" s="55">
        <f t="shared" ref="X78:Z78" si="157">X94/X96*100</f>
        <v>7.518796992481203</v>
      </c>
      <c r="Y78" s="55">
        <f t="shared" si="157"/>
        <v>10</v>
      </c>
      <c r="Z78" s="55">
        <f t="shared" si="157"/>
        <v>7.6923076923076925</v>
      </c>
    </row>
    <row r="79" spans="2:33" x14ac:dyDescent="0.25">
      <c r="B79" s="2" t="s">
        <v>101</v>
      </c>
      <c r="C79" s="55">
        <f t="shared" ref="C79:Q79" si="158">C95/C96*100</f>
        <v>1.875</v>
      </c>
      <c r="D79" s="55">
        <f t="shared" si="158"/>
        <v>22.222222222222221</v>
      </c>
      <c r="E79" s="55">
        <f t="shared" si="158"/>
        <v>2.9585798816568047</v>
      </c>
      <c r="F79" s="55">
        <f t="shared" si="158"/>
        <v>1.3605442176870748</v>
      </c>
      <c r="G79" s="55">
        <f t="shared" si="158"/>
        <v>0</v>
      </c>
      <c r="H79" s="55">
        <f t="shared" si="158"/>
        <v>1.3422818791946309</v>
      </c>
      <c r="I79" s="55">
        <f t="shared" si="158"/>
        <v>5.1282051282051277</v>
      </c>
      <c r="J79" s="55">
        <f t="shared" si="158"/>
        <v>16.666666666666664</v>
      </c>
      <c r="K79" s="55">
        <f t="shared" si="158"/>
        <v>5.6910569105691051</v>
      </c>
      <c r="L79" s="55">
        <f t="shared" si="158"/>
        <v>1.6260162601626018</v>
      </c>
      <c r="M79" s="55">
        <f t="shared" si="158"/>
        <v>11.111111111111111</v>
      </c>
      <c r="N79" s="55">
        <f t="shared" si="158"/>
        <v>2.2727272727272729</v>
      </c>
      <c r="O79" s="55">
        <f t="shared" si="158"/>
        <v>2.4</v>
      </c>
      <c r="P79" s="55">
        <f t="shared" si="158"/>
        <v>0</v>
      </c>
      <c r="Q79" s="55">
        <f t="shared" si="158"/>
        <v>2.3076923076923079</v>
      </c>
      <c r="R79" s="55">
        <f t="shared" ref="R79:T79" si="159">R95/R96*100</f>
        <v>1.4814814814814816</v>
      </c>
      <c r="S79" s="55">
        <f t="shared" si="159"/>
        <v>0</v>
      </c>
      <c r="T79" s="55">
        <f t="shared" si="159"/>
        <v>1.3605442176870748</v>
      </c>
      <c r="U79" s="55">
        <f t="shared" ref="U79:W79" si="160">U95/U96*100</f>
        <v>1.9607843137254901</v>
      </c>
      <c r="V79" s="55">
        <f t="shared" si="160"/>
        <v>14.285714285714285</v>
      </c>
      <c r="W79" s="55">
        <f t="shared" si="160"/>
        <v>2.7522935779816518</v>
      </c>
      <c r="X79" s="55">
        <f t="shared" ref="X79:Z79" si="161">X95/X96*100</f>
        <v>6.0150375939849621</v>
      </c>
      <c r="Y79" s="55">
        <f t="shared" si="161"/>
        <v>10</v>
      </c>
      <c r="Z79" s="55">
        <f t="shared" si="161"/>
        <v>6.2937062937062942</v>
      </c>
    </row>
    <row r="80" spans="2:33" x14ac:dyDescent="0.25">
      <c r="B80" s="17" t="s">
        <v>102</v>
      </c>
      <c r="C80" s="130">
        <f t="shared" ref="C80:P80" si="162">SUM(C71:C79)</f>
        <v>100</v>
      </c>
      <c r="D80" s="130">
        <f t="shared" si="162"/>
        <v>100</v>
      </c>
      <c r="E80" s="130">
        <f t="shared" si="162"/>
        <v>100.00000000000001</v>
      </c>
      <c r="F80" s="130">
        <f t="shared" si="162"/>
        <v>100</v>
      </c>
      <c r="G80" s="130">
        <f t="shared" si="162"/>
        <v>100</v>
      </c>
      <c r="H80" s="130">
        <f t="shared" si="162"/>
        <v>100</v>
      </c>
      <c r="I80" s="130">
        <f t="shared" si="162"/>
        <v>99.999999999999986</v>
      </c>
      <c r="J80" s="130">
        <f t="shared" si="162"/>
        <v>99.999999999999972</v>
      </c>
      <c r="K80" s="130">
        <f t="shared" si="162"/>
        <v>99.999999999999986</v>
      </c>
      <c r="L80" s="130">
        <f t="shared" si="162"/>
        <v>100</v>
      </c>
      <c r="M80" s="130">
        <f t="shared" si="162"/>
        <v>100</v>
      </c>
      <c r="N80" s="130">
        <f>SUM(N71:N79)</f>
        <v>100</v>
      </c>
      <c r="O80" s="130">
        <f t="shared" si="162"/>
        <v>99.999999999999986</v>
      </c>
      <c r="P80" s="130">
        <f t="shared" si="162"/>
        <v>100</v>
      </c>
      <c r="Q80" s="130">
        <f>SUM(Q71:Q79)</f>
        <v>100</v>
      </c>
      <c r="R80" s="130">
        <f t="shared" ref="R80:S80" si="163">SUM(R71:R79)</f>
        <v>100</v>
      </c>
      <c r="S80" s="130">
        <f t="shared" si="163"/>
        <v>100</v>
      </c>
      <c r="T80" s="130">
        <f>SUM(T71:T79)</f>
        <v>100</v>
      </c>
      <c r="U80" s="130">
        <f t="shared" ref="U80:V80" si="164">SUM(U71:U79)</f>
        <v>100</v>
      </c>
      <c r="V80" s="130">
        <f t="shared" si="164"/>
        <v>99.999999999999972</v>
      </c>
      <c r="W80" s="130">
        <f>SUM(W71:W79)</f>
        <v>100</v>
      </c>
      <c r="X80" s="130">
        <f t="shared" ref="X80:Y80" si="165">SUM(X71:X79)</f>
        <v>99.999999999999986</v>
      </c>
      <c r="Y80" s="130">
        <f t="shared" si="165"/>
        <v>100</v>
      </c>
      <c r="Z80" s="130">
        <f>SUM(Z71:Z79)</f>
        <v>100.00000000000001</v>
      </c>
    </row>
    <row r="81" spans="2:26" x14ac:dyDescent="0.25">
      <c r="B81" s="2" t="s">
        <v>103</v>
      </c>
      <c r="C81" s="56">
        <f>C96</f>
        <v>160</v>
      </c>
      <c r="D81" s="55">
        <f t="shared" ref="D81:Q81" si="166">D96</f>
        <v>9</v>
      </c>
      <c r="E81" s="56">
        <f t="shared" si="166"/>
        <v>169</v>
      </c>
      <c r="F81" s="56">
        <f t="shared" si="166"/>
        <v>147</v>
      </c>
      <c r="G81" s="55">
        <f t="shared" si="166"/>
        <v>2</v>
      </c>
      <c r="H81" s="56">
        <f t="shared" si="166"/>
        <v>149</v>
      </c>
      <c r="I81" s="56">
        <f t="shared" si="166"/>
        <v>117</v>
      </c>
      <c r="J81" s="55">
        <f t="shared" si="166"/>
        <v>6</v>
      </c>
      <c r="K81" s="56">
        <f t="shared" si="166"/>
        <v>123</v>
      </c>
      <c r="L81" s="56">
        <f t="shared" si="166"/>
        <v>123</v>
      </c>
      <c r="M81" s="55">
        <f t="shared" si="166"/>
        <v>9</v>
      </c>
      <c r="N81" s="56">
        <f t="shared" si="166"/>
        <v>132</v>
      </c>
      <c r="O81" s="56">
        <f t="shared" si="166"/>
        <v>125</v>
      </c>
      <c r="P81" s="55">
        <f t="shared" si="166"/>
        <v>5</v>
      </c>
      <c r="Q81" s="56">
        <f t="shared" si="166"/>
        <v>130</v>
      </c>
      <c r="R81" s="56">
        <f>R96</f>
        <v>135</v>
      </c>
      <c r="S81" s="55">
        <f t="shared" ref="S81:T81" si="167">S96</f>
        <v>12</v>
      </c>
      <c r="T81" s="56">
        <f t="shared" si="167"/>
        <v>147</v>
      </c>
      <c r="U81" s="56">
        <f>U96</f>
        <v>102</v>
      </c>
      <c r="V81" s="55">
        <f t="shared" ref="V81:W81" si="168">V96</f>
        <v>7</v>
      </c>
      <c r="W81" s="56">
        <f t="shared" si="168"/>
        <v>109</v>
      </c>
      <c r="X81" s="56">
        <f>X96</f>
        <v>133</v>
      </c>
      <c r="Y81" s="55">
        <f t="shared" ref="Y81:Z81" si="169">Y96</f>
        <v>10</v>
      </c>
      <c r="Z81" s="56">
        <f t="shared" si="169"/>
        <v>143</v>
      </c>
    </row>
    <row r="82" spans="2:26" x14ac:dyDescent="0.25">
      <c r="B82" s="41"/>
      <c r="C82" s="3"/>
      <c r="D82" s="3"/>
      <c r="E82" s="3"/>
      <c r="F82" s="3"/>
      <c r="G82" s="3"/>
      <c r="H82" s="3"/>
      <c r="I82" s="3"/>
      <c r="J82" s="3"/>
      <c r="K82" s="3"/>
      <c r="L82" s="3"/>
      <c r="M82" s="3"/>
      <c r="N82" s="3"/>
      <c r="U82" s="161"/>
      <c r="X82" s="161"/>
      <c r="Y82" s="161"/>
      <c r="Z82" s="161"/>
    </row>
    <row r="83" spans="2:26" x14ac:dyDescent="0.25">
      <c r="B83" s="91" t="s">
        <v>318</v>
      </c>
      <c r="C83" s="3"/>
      <c r="D83" s="3"/>
      <c r="E83" s="3"/>
      <c r="F83" s="3"/>
      <c r="G83" s="3"/>
      <c r="H83" s="3"/>
      <c r="I83" s="3"/>
      <c r="J83" s="3"/>
      <c r="K83" s="3"/>
      <c r="L83" s="3"/>
      <c r="M83" s="3"/>
      <c r="N83" s="3"/>
      <c r="X83" s="161"/>
      <c r="Y83" s="161"/>
      <c r="Z83" s="161"/>
    </row>
    <row r="84" spans="2:26" x14ac:dyDescent="0.25">
      <c r="B84" s="14"/>
      <c r="C84" s="3"/>
      <c r="D84" s="3"/>
      <c r="E84" s="3"/>
      <c r="F84" s="3"/>
      <c r="G84" s="3"/>
      <c r="H84" s="3"/>
      <c r="I84" s="3"/>
      <c r="J84" s="3"/>
      <c r="K84" s="3"/>
      <c r="L84" s="3"/>
      <c r="M84" s="3"/>
      <c r="N84" s="3"/>
      <c r="X84" s="161"/>
      <c r="Y84" s="161"/>
      <c r="Z84" s="161"/>
    </row>
    <row r="85" spans="2:26" x14ac:dyDescent="0.25">
      <c r="B85" s="14"/>
      <c r="C85" s="3"/>
      <c r="D85" s="3"/>
      <c r="E85" s="3"/>
      <c r="F85" s="3"/>
      <c r="G85" s="3"/>
      <c r="H85" s="3"/>
      <c r="I85" s="3"/>
      <c r="J85" s="3"/>
      <c r="K85" s="3"/>
      <c r="L85" s="3"/>
      <c r="M85" s="3"/>
      <c r="N85" s="3"/>
      <c r="X85" s="161"/>
      <c r="Y85" s="161"/>
      <c r="Z85" s="161"/>
    </row>
    <row r="86" spans="2:26" x14ac:dyDescent="0.25">
      <c r="B86" s="54" t="s">
        <v>106</v>
      </c>
      <c r="C86" s="3"/>
      <c r="D86" s="3"/>
      <c r="E86" s="3"/>
      <c r="F86" s="3"/>
      <c r="G86" s="3"/>
      <c r="H86" s="3"/>
      <c r="I86" s="3"/>
      <c r="J86" s="3"/>
      <c r="K86" s="3"/>
      <c r="L86" s="3"/>
      <c r="M86" s="3"/>
      <c r="N86" s="3"/>
      <c r="X86" s="161"/>
      <c r="Y86" s="161"/>
      <c r="Z86" s="161"/>
    </row>
    <row r="87" spans="2:26" x14ac:dyDescent="0.25">
      <c r="B87" s="2" t="s">
        <v>93</v>
      </c>
      <c r="C87" s="57">
        <v>18</v>
      </c>
      <c r="D87" s="57">
        <v>0</v>
      </c>
      <c r="E87" s="57">
        <f>C87+D87</f>
        <v>18</v>
      </c>
      <c r="F87" s="57">
        <v>17</v>
      </c>
      <c r="G87" s="57">
        <v>0</v>
      </c>
      <c r="H87" s="57">
        <f>F87+G87</f>
        <v>17</v>
      </c>
      <c r="I87" s="57">
        <v>14</v>
      </c>
      <c r="J87" s="57">
        <v>1</v>
      </c>
      <c r="K87" s="57">
        <f>I87+J87</f>
        <v>15</v>
      </c>
      <c r="L87" s="57">
        <v>12</v>
      </c>
      <c r="M87" s="57">
        <v>1</v>
      </c>
      <c r="N87" s="57">
        <f>L87+M87</f>
        <v>13</v>
      </c>
      <c r="O87" s="57">
        <v>12</v>
      </c>
      <c r="P87" s="57">
        <v>1</v>
      </c>
      <c r="Q87" s="100">
        <f>SUM(O87:P87)</f>
        <v>13</v>
      </c>
      <c r="R87" s="57">
        <v>15</v>
      </c>
      <c r="S87" s="57">
        <v>2</v>
      </c>
      <c r="T87" s="100">
        <f>SUM(R87:S87)</f>
        <v>17</v>
      </c>
      <c r="U87" s="55">
        <v>14</v>
      </c>
      <c r="V87" s="55">
        <v>3</v>
      </c>
      <c r="W87" s="57">
        <f>SUM(U87:V87)</f>
        <v>17</v>
      </c>
      <c r="X87" s="55">
        <v>14</v>
      </c>
      <c r="Y87" s="55">
        <v>1</v>
      </c>
      <c r="Z87" s="57">
        <f>SUM(X87:Y87)</f>
        <v>15</v>
      </c>
    </row>
    <row r="88" spans="2:26" x14ac:dyDescent="0.25">
      <c r="B88" s="2" t="s">
        <v>94</v>
      </c>
      <c r="C88" s="57">
        <v>24</v>
      </c>
      <c r="D88" s="57">
        <v>1</v>
      </c>
      <c r="E88" s="57">
        <f t="shared" ref="E88:E95" si="170">C88+D88</f>
        <v>25</v>
      </c>
      <c r="F88" s="57">
        <v>26</v>
      </c>
      <c r="G88" s="57">
        <v>0</v>
      </c>
      <c r="H88" s="57">
        <f t="shared" ref="H88:H95" si="171">F88+G88</f>
        <v>26</v>
      </c>
      <c r="I88" s="57">
        <v>17</v>
      </c>
      <c r="J88" s="57">
        <v>0</v>
      </c>
      <c r="K88" s="57">
        <f t="shared" ref="K88:K95" si="172">I88+J88</f>
        <v>17</v>
      </c>
      <c r="L88" s="57">
        <v>22</v>
      </c>
      <c r="M88" s="57">
        <v>0</v>
      </c>
      <c r="N88" s="57">
        <f t="shared" ref="N88:N95" si="173">L88+M88</f>
        <v>22</v>
      </c>
      <c r="O88" s="57">
        <v>17</v>
      </c>
      <c r="P88" s="57">
        <v>0</v>
      </c>
      <c r="Q88" s="100">
        <f t="shared" ref="Q88:Q96" si="174">SUM(O88:P88)</f>
        <v>17</v>
      </c>
      <c r="R88" s="57">
        <v>16</v>
      </c>
      <c r="S88" s="57">
        <v>0</v>
      </c>
      <c r="T88" s="100">
        <f t="shared" ref="T88:T96" si="175">SUM(R88:S88)</f>
        <v>16</v>
      </c>
      <c r="U88" s="55">
        <v>10</v>
      </c>
      <c r="V88" s="55">
        <v>0</v>
      </c>
      <c r="W88" s="57">
        <f t="shared" ref="W88:W95" si="176">SUM(U88:V88)</f>
        <v>10</v>
      </c>
      <c r="X88" s="55">
        <v>13</v>
      </c>
      <c r="Y88" s="55">
        <v>1</v>
      </c>
      <c r="Z88" s="57">
        <f t="shared" ref="Z88:Z96" si="177">SUM(X88:Y88)</f>
        <v>14</v>
      </c>
    </row>
    <row r="89" spans="2:26" x14ac:dyDescent="0.25">
      <c r="B89" s="2" t="s">
        <v>95</v>
      </c>
      <c r="C89" s="57">
        <v>50</v>
      </c>
      <c r="D89" s="57">
        <v>3</v>
      </c>
      <c r="E89" s="57">
        <f t="shared" si="170"/>
        <v>53</v>
      </c>
      <c r="F89" s="57">
        <v>41</v>
      </c>
      <c r="G89" s="57">
        <v>1</v>
      </c>
      <c r="H89" s="57">
        <f t="shared" si="171"/>
        <v>42</v>
      </c>
      <c r="I89" s="57">
        <v>29</v>
      </c>
      <c r="J89" s="57">
        <v>4</v>
      </c>
      <c r="K89" s="57">
        <f t="shared" si="172"/>
        <v>33</v>
      </c>
      <c r="L89" s="57">
        <v>37</v>
      </c>
      <c r="M89" s="57">
        <v>4</v>
      </c>
      <c r="N89" s="57">
        <f t="shared" si="173"/>
        <v>41</v>
      </c>
      <c r="O89" s="57">
        <v>37</v>
      </c>
      <c r="P89" s="57">
        <v>2</v>
      </c>
      <c r="Q89" s="100">
        <f t="shared" si="174"/>
        <v>39</v>
      </c>
      <c r="R89" s="57">
        <v>39</v>
      </c>
      <c r="S89" s="57">
        <v>5</v>
      </c>
      <c r="T89" s="100">
        <f t="shared" si="175"/>
        <v>44</v>
      </c>
      <c r="U89" s="55">
        <v>40</v>
      </c>
      <c r="V89" s="55">
        <v>2</v>
      </c>
      <c r="W89" s="57">
        <f t="shared" si="176"/>
        <v>42</v>
      </c>
      <c r="X89" s="55">
        <v>56</v>
      </c>
      <c r="Y89" s="55">
        <v>4</v>
      </c>
      <c r="Z89" s="57">
        <f t="shared" si="177"/>
        <v>60</v>
      </c>
    </row>
    <row r="90" spans="2:26" x14ac:dyDescent="0.25">
      <c r="B90" s="2" t="s">
        <v>96</v>
      </c>
      <c r="C90" s="57">
        <v>11</v>
      </c>
      <c r="D90" s="57">
        <v>3</v>
      </c>
      <c r="E90" s="57">
        <f t="shared" si="170"/>
        <v>14</v>
      </c>
      <c r="F90" s="57">
        <v>9</v>
      </c>
      <c r="G90" s="57">
        <v>1</v>
      </c>
      <c r="H90" s="57">
        <f t="shared" si="171"/>
        <v>10</v>
      </c>
      <c r="I90" s="57">
        <v>6</v>
      </c>
      <c r="J90" s="57">
        <v>0</v>
      </c>
      <c r="K90" s="57">
        <f t="shared" si="172"/>
        <v>6</v>
      </c>
      <c r="L90" s="57">
        <v>8</v>
      </c>
      <c r="M90" s="57">
        <v>2</v>
      </c>
      <c r="N90" s="57">
        <f t="shared" si="173"/>
        <v>10</v>
      </c>
      <c r="O90" s="57">
        <v>13</v>
      </c>
      <c r="P90" s="57">
        <v>1</v>
      </c>
      <c r="Q90" s="100">
        <f t="shared" si="174"/>
        <v>14</v>
      </c>
      <c r="R90" s="57">
        <v>12</v>
      </c>
      <c r="S90" s="57">
        <v>2</v>
      </c>
      <c r="T90" s="100">
        <f t="shared" si="175"/>
        <v>14</v>
      </c>
      <c r="U90" s="55">
        <v>8</v>
      </c>
      <c r="V90" s="55">
        <v>0</v>
      </c>
      <c r="W90" s="57">
        <f t="shared" si="176"/>
        <v>8</v>
      </c>
      <c r="X90" s="55">
        <v>7</v>
      </c>
      <c r="Y90" s="55">
        <v>1</v>
      </c>
      <c r="Z90" s="57">
        <f t="shared" si="177"/>
        <v>8</v>
      </c>
    </row>
    <row r="91" spans="2:26" x14ac:dyDescent="0.25">
      <c r="B91" s="2" t="s">
        <v>97</v>
      </c>
      <c r="C91" s="57">
        <v>7</v>
      </c>
      <c r="D91" s="57">
        <v>0</v>
      </c>
      <c r="E91" s="57">
        <f t="shared" si="170"/>
        <v>7</v>
      </c>
      <c r="F91" s="57">
        <v>5</v>
      </c>
      <c r="G91" s="57">
        <v>0</v>
      </c>
      <c r="H91" s="57">
        <f t="shared" si="171"/>
        <v>5</v>
      </c>
      <c r="I91" s="57">
        <v>6</v>
      </c>
      <c r="J91" s="57">
        <v>0</v>
      </c>
      <c r="K91" s="57">
        <f t="shared" si="172"/>
        <v>6</v>
      </c>
      <c r="L91" s="57">
        <v>6</v>
      </c>
      <c r="M91" s="57">
        <v>0</v>
      </c>
      <c r="N91" s="57">
        <f t="shared" si="173"/>
        <v>6</v>
      </c>
      <c r="O91" s="57">
        <v>5</v>
      </c>
      <c r="P91" s="57">
        <v>0</v>
      </c>
      <c r="Q91" s="100">
        <f t="shared" si="174"/>
        <v>5</v>
      </c>
      <c r="R91" s="57">
        <v>5</v>
      </c>
      <c r="S91" s="57">
        <v>0</v>
      </c>
      <c r="T91" s="100">
        <f t="shared" si="175"/>
        <v>5</v>
      </c>
      <c r="U91" s="55">
        <v>5</v>
      </c>
      <c r="V91" s="55">
        <v>0</v>
      </c>
      <c r="W91" s="57">
        <f t="shared" si="176"/>
        <v>5</v>
      </c>
      <c r="X91" s="55">
        <v>7</v>
      </c>
      <c r="Y91" s="55">
        <v>1</v>
      </c>
      <c r="Z91" s="57">
        <f t="shared" si="177"/>
        <v>8</v>
      </c>
    </row>
    <row r="92" spans="2:26" x14ac:dyDescent="0.25">
      <c r="B92" s="2" t="s">
        <v>98</v>
      </c>
      <c r="C92" s="57">
        <v>27</v>
      </c>
      <c r="D92" s="57">
        <v>0</v>
      </c>
      <c r="E92" s="57">
        <f t="shared" si="170"/>
        <v>27</v>
      </c>
      <c r="F92" s="57">
        <v>22</v>
      </c>
      <c r="G92" s="57">
        <v>0</v>
      </c>
      <c r="H92" s="57">
        <f t="shared" si="171"/>
        <v>22</v>
      </c>
      <c r="I92" s="57">
        <v>24</v>
      </c>
      <c r="J92" s="57">
        <v>0</v>
      </c>
      <c r="K92" s="57">
        <f t="shared" si="172"/>
        <v>24</v>
      </c>
      <c r="L92" s="57">
        <v>26</v>
      </c>
      <c r="M92" s="57">
        <v>0</v>
      </c>
      <c r="N92" s="57">
        <f t="shared" si="173"/>
        <v>26</v>
      </c>
      <c r="O92" s="57">
        <v>16</v>
      </c>
      <c r="P92" s="57">
        <v>0</v>
      </c>
      <c r="Q92" s="100">
        <f t="shared" si="174"/>
        <v>16</v>
      </c>
      <c r="R92" s="57">
        <v>22</v>
      </c>
      <c r="S92" s="57">
        <v>0</v>
      </c>
      <c r="T92" s="100">
        <f t="shared" si="175"/>
        <v>22</v>
      </c>
      <c r="U92" s="55">
        <v>15</v>
      </c>
      <c r="V92" s="55">
        <v>1</v>
      </c>
      <c r="W92" s="57">
        <f t="shared" si="176"/>
        <v>16</v>
      </c>
      <c r="X92" s="55">
        <v>17</v>
      </c>
      <c r="Y92" s="55">
        <v>0</v>
      </c>
      <c r="Z92" s="57">
        <f t="shared" si="177"/>
        <v>17</v>
      </c>
    </row>
    <row r="93" spans="2:26" x14ac:dyDescent="0.25">
      <c r="B93" s="2" t="s">
        <v>99</v>
      </c>
      <c r="C93" s="57">
        <v>9</v>
      </c>
      <c r="D93" s="57">
        <v>0</v>
      </c>
      <c r="E93" s="57">
        <f t="shared" si="170"/>
        <v>9</v>
      </c>
      <c r="F93" s="57">
        <v>10</v>
      </c>
      <c r="G93" s="57">
        <v>0</v>
      </c>
      <c r="H93" s="57">
        <f t="shared" si="171"/>
        <v>10</v>
      </c>
      <c r="I93" s="57">
        <v>10</v>
      </c>
      <c r="J93" s="57">
        <v>0</v>
      </c>
      <c r="K93" s="57">
        <f t="shared" si="172"/>
        <v>10</v>
      </c>
      <c r="L93" s="57">
        <v>1</v>
      </c>
      <c r="M93" s="57">
        <v>0</v>
      </c>
      <c r="N93" s="57">
        <f t="shared" si="173"/>
        <v>1</v>
      </c>
      <c r="O93" s="57">
        <v>1</v>
      </c>
      <c r="P93" s="57">
        <v>0</v>
      </c>
      <c r="Q93" s="100">
        <f t="shared" si="174"/>
        <v>1</v>
      </c>
      <c r="R93" s="57">
        <v>1</v>
      </c>
      <c r="S93" s="57">
        <v>0</v>
      </c>
      <c r="T93" s="100">
        <f t="shared" si="175"/>
        <v>1</v>
      </c>
      <c r="U93" s="55">
        <v>0</v>
      </c>
      <c r="V93" s="55">
        <v>0</v>
      </c>
      <c r="W93" s="57">
        <f t="shared" si="176"/>
        <v>0</v>
      </c>
      <c r="X93" s="55">
        <v>1</v>
      </c>
      <c r="Y93" s="55">
        <v>0</v>
      </c>
      <c r="Z93" s="57">
        <f t="shared" si="177"/>
        <v>1</v>
      </c>
    </row>
    <row r="94" spans="2:26" x14ac:dyDescent="0.25">
      <c r="B94" s="2" t="s">
        <v>100</v>
      </c>
      <c r="C94" s="57">
        <v>11</v>
      </c>
      <c r="D94" s="57">
        <v>0</v>
      </c>
      <c r="E94" s="57">
        <f t="shared" si="170"/>
        <v>11</v>
      </c>
      <c r="F94" s="57">
        <v>15</v>
      </c>
      <c r="G94" s="57">
        <v>0</v>
      </c>
      <c r="H94" s="57">
        <f t="shared" si="171"/>
        <v>15</v>
      </c>
      <c r="I94" s="57">
        <v>5</v>
      </c>
      <c r="J94" s="57">
        <v>0</v>
      </c>
      <c r="K94" s="57">
        <f t="shared" si="172"/>
        <v>5</v>
      </c>
      <c r="L94" s="57">
        <v>9</v>
      </c>
      <c r="M94" s="57">
        <v>1</v>
      </c>
      <c r="N94" s="57">
        <f t="shared" si="173"/>
        <v>10</v>
      </c>
      <c r="O94" s="57">
        <v>21</v>
      </c>
      <c r="P94" s="57">
        <v>1</v>
      </c>
      <c r="Q94" s="100">
        <f t="shared" si="174"/>
        <v>22</v>
      </c>
      <c r="R94" s="57">
        <v>23</v>
      </c>
      <c r="S94" s="57">
        <v>3</v>
      </c>
      <c r="T94" s="100">
        <f t="shared" si="175"/>
        <v>26</v>
      </c>
      <c r="U94" s="55">
        <v>8</v>
      </c>
      <c r="V94" s="55">
        <v>0</v>
      </c>
      <c r="W94" s="57">
        <f t="shared" si="176"/>
        <v>8</v>
      </c>
      <c r="X94" s="55">
        <v>10</v>
      </c>
      <c r="Y94" s="55">
        <v>1</v>
      </c>
      <c r="Z94" s="57">
        <f t="shared" si="177"/>
        <v>11</v>
      </c>
    </row>
    <row r="95" spans="2:26" x14ac:dyDescent="0.25">
      <c r="B95" s="2" t="s">
        <v>101</v>
      </c>
      <c r="C95" s="57">
        <v>3</v>
      </c>
      <c r="D95" s="57">
        <v>2</v>
      </c>
      <c r="E95" s="57">
        <f t="shared" si="170"/>
        <v>5</v>
      </c>
      <c r="F95" s="57">
        <v>2</v>
      </c>
      <c r="G95" s="57">
        <v>0</v>
      </c>
      <c r="H95" s="57">
        <f t="shared" si="171"/>
        <v>2</v>
      </c>
      <c r="I95" s="57">
        <v>6</v>
      </c>
      <c r="J95" s="57">
        <v>1</v>
      </c>
      <c r="K95" s="57">
        <f t="shared" si="172"/>
        <v>7</v>
      </c>
      <c r="L95" s="57">
        <v>2</v>
      </c>
      <c r="M95" s="57">
        <v>1</v>
      </c>
      <c r="N95" s="57">
        <f t="shared" si="173"/>
        <v>3</v>
      </c>
      <c r="O95" s="57">
        <v>3</v>
      </c>
      <c r="P95" s="57">
        <v>0</v>
      </c>
      <c r="Q95" s="100">
        <f t="shared" si="174"/>
        <v>3</v>
      </c>
      <c r="R95" s="57">
        <v>2</v>
      </c>
      <c r="S95" s="57">
        <v>0</v>
      </c>
      <c r="T95" s="100">
        <f t="shared" si="175"/>
        <v>2</v>
      </c>
      <c r="U95" s="55">
        <v>2</v>
      </c>
      <c r="V95" s="55">
        <v>1</v>
      </c>
      <c r="W95" s="57">
        <f t="shared" si="176"/>
        <v>3</v>
      </c>
      <c r="X95" s="55">
        <v>8</v>
      </c>
      <c r="Y95" s="55">
        <v>1</v>
      </c>
      <c r="Z95" s="57">
        <f t="shared" si="177"/>
        <v>9</v>
      </c>
    </row>
    <row r="96" spans="2:26" x14ac:dyDescent="0.25">
      <c r="B96" s="6"/>
      <c r="C96" s="58">
        <f>SUM(C87:C95)</f>
        <v>160</v>
      </c>
      <c r="D96" s="57">
        <f t="shared" ref="D96:N96" si="178">SUM(D87:D95)</f>
        <v>9</v>
      </c>
      <c r="E96" s="58">
        <f t="shared" si="178"/>
        <v>169</v>
      </c>
      <c r="F96" s="58">
        <f t="shared" si="178"/>
        <v>147</v>
      </c>
      <c r="G96" s="57">
        <f t="shared" si="178"/>
        <v>2</v>
      </c>
      <c r="H96" s="58">
        <f t="shared" si="178"/>
        <v>149</v>
      </c>
      <c r="I96" s="58">
        <f t="shared" si="178"/>
        <v>117</v>
      </c>
      <c r="J96" s="57">
        <f t="shared" si="178"/>
        <v>6</v>
      </c>
      <c r="K96" s="58">
        <f>SUM(K87:K95)</f>
        <v>123</v>
      </c>
      <c r="L96" s="58">
        <f t="shared" si="178"/>
        <v>123</v>
      </c>
      <c r="M96" s="57">
        <f t="shared" si="178"/>
        <v>9</v>
      </c>
      <c r="N96" s="58">
        <f t="shared" si="178"/>
        <v>132</v>
      </c>
      <c r="O96" s="100">
        <f>SUM(O87:O95)</f>
        <v>125</v>
      </c>
      <c r="P96" s="100">
        <f>SUM(P87:P95)</f>
        <v>5</v>
      </c>
      <c r="Q96" s="100">
        <f t="shared" si="174"/>
        <v>130</v>
      </c>
      <c r="R96" s="100">
        <f>SUM(R87:R95)</f>
        <v>135</v>
      </c>
      <c r="S96" s="100">
        <f>SUM(S87:S95)</f>
        <v>12</v>
      </c>
      <c r="T96" s="100">
        <f t="shared" si="175"/>
        <v>147</v>
      </c>
      <c r="U96" s="100">
        <f>SUM(U87:U95)</f>
        <v>102</v>
      </c>
      <c r="V96" s="100">
        <f>SUM(V87:V95)</f>
        <v>7</v>
      </c>
      <c r="W96" s="100">
        <f t="shared" ref="W96" si="179">SUM(U96:V96)</f>
        <v>109</v>
      </c>
      <c r="X96" s="100">
        <f>SUM(X87:X95)</f>
        <v>133</v>
      </c>
      <c r="Y96" s="100">
        <f>SUM(Y87:Y95)</f>
        <v>10</v>
      </c>
      <c r="Z96" s="100">
        <f t="shared" si="177"/>
        <v>143</v>
      </c>
    </row>
    <row r="97" spans="2:26" x14ac:dyDescent="0.25">
      <c r="B97" s="6"/>
      <c r="X97" s="161"/>
      <c r="Y97" s="161"/>
      <c r="Z97" s="161"/>
    </row>
    <row r="98" spans="2:26" x14ac:dyDescent="0.25">
      <c r="X98" s="161"/>
      <c r="Y98" s="161"/>
      <c r="Z98" s="161"/>
    </row>
    <row r="99" spans="2:26" x14ac:dyDescent="0.25">
      <c r="X99" s="161"/>
      <c r="Y99" s="161"/>
      <c r="Z99" s="161"/>
    </row>
    <row r="100" spans="2:26" ht="18.75" x14ac:dyDescent="0.3">
      <c r="B100" s="18" t="s">
        <v>301</v>
      </c>
      <c r="C100" s="186">
        <v>2014</v>
      </c>
      <c r="D100" s="186"/>
      <c r="E100" s="186"/>
      <c r="F100" s="186">
        <v>2015</v>
      </c>
      <c r="G100" s="186"/>
      <c r="H100" s="186"/>
      <c r="I100" s="186">
        <v>2016</v>
      </c>
      <c r="J100" s="186"/>
      <c r="K100" s="186"/>
      <c r="L100" s="186">
        <v>2017</v>
      </c>
      <c r="M100" s="186"/>
      <c r="N100" s="186"/>
      <c r="O100" s="186">
        <v>2018</v>
      </c>
      <c r="P100" s="186"/>
      <c r="Q100" s="186"/>
      <c r="R100" s="186">
        <v>2019</v>
      </c>
      <c r="S100" s="186"/>
      <c r="T100" s="186"/>
      <c r="U100" s="186">
        <v>2020</v>
      </c>
      <c r="V100" s="186"/>
      <c r="W100" s="186"/>
      <c r="X100" s="186">
        <v>2021</v>
      </c>
      <c r="Y100" s="186"/>
      <c r="Z100" s="186"/>
    </row>
    <row r="101" spans="2:26" ht="18.75" x14ac:dyDescent="0.3">
      <c r="B101" s="20"/>
      <c r="C101" s="53" t="s">
        <v>104</v>
      </c>
      <c r="D101" s="53" t="s">
        <v>105</v>
      </c>
      <c r="E101" s="53" t="s">
        <v>84</v>
      </c>
      <c r="F101" s="53" t="s">
        <v>104</v>
      </c>
      <c r="G101" s="53" t="s">
        <v>105</v>
      </c>
      <c r="H101" s="53" t="s">
        <v>84</v>
      </c>
      <c r="I101" s="53" t="s">
        <v>104</v>
      </c>
      <c r="J101" s="53" t="s">
        <v>105</v>
      </c>
      <c r="K101" s="53" t="s">
        <v>84</v>
      </c>
      <c r="L101" s="53" t="s">
        <v>104</v>
      </c>
      <c r="M101" s="53" t="s">
        <v>105</v>
      </c>
      <c r="N101" s="53" t="s">
        <v>84</v>
      </c>
      <c r="O101" s="53" t="s">
        <v>104</v>
      </c>
      <c r="P101" s="53" t="s">
        <v>105</v>
      </c>
      <c r="Q101" s="53" t="s">
        <v>84</v>
      </c>
      <c r="R101" s="53" t="s">
        <v>104</v>
      </c>
      <c r="S101" s="53" t="s">
        <v>105</v>
      </c>
      <c r="T101" s="53" t="s">
        <v>84</v>
      </c>
      <c r="U101" s="53" t="s">
        <v>104</v>
      </c>
      <c r="V101" s="53" t="s">
        <v>105</v>
      </c>
      <c r="W101" s="53" t="s">
        <v>84</v>
      </c>
      <c r="X101" s="53" t="s">
        <v>104</v>
      </c>
      <c r="Y101" s="53" t="s">
        <v>105</v>
      </c>
      <c r="Z101" s="53" t="s">
        <v>84</v>
      </c>
    </row>
    <row r="102" spans="2:26" x14ac:dyDescent="0.25">
      <c r="B102" s="54" t="s">
        <v>300</v>
      </c>
      <c r="C102" s="22"/>
      <c r="D102" s="22"/>
      <c r="E102" s="22"/>
      <c r="F102" s="22"/>
      <c r="G102" s="22"/>
      <c r="H102" s="22"/>
      <c r="I102" s="22"/>
      <c r="X102" s="161"/>
      <c r="Y102" s="161"/>
      <c r="Z102" s="161"/>
    </row>
    <row r="103" spans="2:26" x14ac:dyDescent="0.25">
      <c r="B103" s="2" t="s">
        <v>93</v>
      </c>
      <c r="C103" s="55">
        <f t="shared" ref="C103" si="180">C119/C128*100</f>
        <v>6.6971080669710803</v>
      </c>
      <c r="D103" s="55">
        <f>D119/D128*100</f>
        <v>9.4890510948905096</v>
      </c>
      <c r="E103" s="55">
        <f t="shared" ref="E103" si="181">E119/E128*100</f>
        <v>6.8354430379746836</v>
      </c>
      <c r="F103" s="55">
        <f>F119/F128*100</f>
        <v>7.0539419087136928</v>
      </c>
      <c r="G103" s="55">
        <f>G119/G128*100</f>
        <v>10.714285714285714</v>
      </c>
      <c r="H103" s="55">
        <f t="shared" ref="H103" si="182">H119/H128*100</f>
        <v>7.2375492654962379</v>
      </c>
      <c r="I103" s="55">
        <f>I119/I128*100</f>
        <v>6.8379160636758325</v>
      </c>
      <c r="J103" s="55">
        <f>J119/J128*100</f>
        <v>9.6256684491978604</v>
      </c>
      <c r="K103" s="55">
        <f t="shared" ref="K103" si="183">K119/K128*100</f>
        <v>7.0145713317519478</v>
      </c>
      <c r="L103" s="55">
        <f t="shared" ref="L103:Q103" si="184">L119/L128*100</f>
        <v>7.4690402476780191</v>
      </c>
      <c r="M103" s="55">
        <f t="shared" si="184"/>
        <v>12.5</v>
      </c>
      <c r="N103" s="55">
        <f t="shared" si="184"/>
        <v>7.7485380116959064</v>
      </c>
      <c r="O103" s="55">
        <f t="shared" si="184"/>
        <v>8.440514469453376</v>
      </c>
      <c r="P103" s="55">
        <f t="shared" si="184"/>
        <v>13.157894736842104</v>
      </c>
      <c r="Q103" s="55">
        <f t="shared" si="184"/>
        <v>8.7121212121212128</v>
      </c>
      <c r="R103" s="55">
        <f t="shared" ref="R103:T103" si="185">R119/R128*100</f>
        <v>8.69751499571551</v>
      </c>
      <c r="S103" s="55">
        <f t="shared" si="185"/>
        <v>12.352941176470589</v>
      </c>
      <c r="T103" s="55">
        <f t="shared" si="185"/>
        <v>8.9456869009584654</v>
      </c>
      <c r="U103" s="55">
        <f t="shared" ref="U103:W103" si="186">U119/U128*100</f>
        <v>10.097431355181577</v>
      </c>
      <c r="V103" s="55">
        <f t="shared" si="186"/>
        <v>17.985611510791365</v>
      </c>
      <c r="W103" s="55">
        <f t="shared" si="186"/>
        <v>10.554860241969129</v>
      </c>
      <c r="X103" s="55">
        <f t="shared" ref="X103:Z103" si="187">X119/X128*100</f>
        <v>9.0125391849529777</v>
      </c>
      <c r="Y103" s="55">
        <f t="shared" si="187"/>
        <v>18.421052631578945</v>
      </c>
      <c r="Z103" s="55">
        <f t="shared" si="187"/>
        <v>9.5414201183431953</v>
      </c>
    </row>
    <row r="104" spans="2:26" x14ac:dyDescent="0.25">
      <c r="B104" s="2" t="s">
        <v>94</v>
      </c>
      <c r="C104" s="55">
        <f t="shared" ref="C104" si="188">C120/C128*100</f>
        <v>18.036529680365295</v>
      </c>
      <c r="D104" s="55">
        <f>D120/D128*100</f>
        <v>16.058394160583941</v>
      </c>
      <c r="E104" s="55">
        <f t="shared" ref="E104:F104" si="189">E120/E128*100</f>
        <v>17.93851717902351</v>
      </c>
      <c r="F104" s="55">
        <f t="shared" si="189"/>
        <v>16.144850999622783</v>
      </c>
      <c r="G104" s="55">
        <f>G120/G128*100</f>
        <v>14.285714285714285</v>
      </c>
      <c r="H104" s="55">
        <f t="shared" ref="H104:I104" si="190">H120/H128*100</f>
        <v>16.051594410605517</v>
      </c>
      <c r="I104" s="55">
        <f t="shared" si="190"/>
        <v>15.810419681620838</v>
      </c>
      <c r="J104" s="55">
        <f>J120/J128*100</f>
        <v>14.438502673796791</v>
      </c>
      <c r="K104" s="55">
        <f t="shared" ref="K104:L104" si="191">K120/K128*100</f>
        <v>15.723483564893256</v>
      </c>
      <c r="L104" s="55">
        <f t="shared" si="191"/>
        <v>14.512383900928793</v>
      </c>
      <c r="M104" s="55">
        <f>M120/M128*100</f>
        <v>14.473684210526317</v>
      </c>
      <c r="N104" s="55">
        <f>N120/N128*100</f>
        <v>14.510233918128653</v>
      </c>
      <c r="O104" s="55">
        <f t="shared" ref="O104" si="192">O120/O128*100</f>
        <v>14.831189710610932</v>
      </c>
      <c r="P104" s="55">
        <f>P120/P128*100</f>
        <v>15.789473684210526</v>
      </c>
      <c r="Q104" s="55">
        <f>Q120/Q128*100</f>
        <v>14.886363636363637</v>
      </c>
      <c r="R104" s="55">
        <f t="shared" ref="R104" si="193">R120/R128*100</f>
        <v>14.9528706083976</v>
      </c>
      <c r="S104" s="55">
        <f>S120/S128*100</f>
        <v>12.941176470588237</v>
      </c>
      <c r="T104" s="55">
        <f>T120/T128*100</f>
        <v>14.81629392971246</v>
      </c>
      <c r="U104" s="55">
        <f t="shared" ref="U104" si="194">U120/U128*100</f>
        <v>15.279007971656334</v>
      </c>
      <c r="V104" s="55">
        <f>V120/V128*100</f>
        <v>10.791366906474821</v>
      </c>
      <c r="W104" s="55">
        <f>W120/W128*100</f>
        <v>15.018773466833544</v>
      </c>
      <c r="X104" s="55">
        <f t="shared" ref="X104" si="195">X120/X128*100</f>
        <v>14.772727272727273</v>
      </c>
      <c r="Y104" s="55">
        <f>Y120/Y128*100</f>
        <v>13.815789473684212</v>
      </c>
      <c r="Z104" s="55">
        <f>Z120/Z128*100</f>
        <v>14.718934911242604</v>
      </c>
    </row>
    <row r="105" spans="2:26" x14ac:dyDescent="0.25">
      <c r="B105" s="2" t="s">
        <v>95</v>
      </c>
      <c r="C105" s="55">
        <f t="shared" ref="C105:N105" si="196">C121/C128*100</f>
        <v>23.097412480974125</v>
      </c>
      <c r="D105" s="55">
        <f t="shared" si="196"/>
        <v>24.817518248175183</v>
      </c>
      <c r="E105" s="55">
        <f t="shared" si="196"/>
        <v>23.182640144665463</v>
      </c>
      <c r="F105" s="55">
        <f t="shared" si="196"/>
        <v>25.122595247076575</v>
      </c>
      <c r="G105" s="55">
        <f t="shared" si="196"/>
        <v>30</v>
      </c>
      <c r="H105" s="55">
        <f t="shared" si="196"/>
        <v>25.367251881046222</v>
      </c>
      <c r="I105" s="55">
        <f t="shared" si="196"/>
        <v>25.072358900144721</v>
      </c>
      <c r="J105" s="55">
        <f t="shared" si="196"/>
        <v>21.925133689839569</v>
      </c>
      <c r="K105" s="55">
        <f t="shared" si="196"/>
        <v>24.872924432395799</v>
      </c>
      <c r="L105" s="55">
        <f t="shared" si="196"/>
        <v>25.386996904024766</v>
      </c>
      <c r="M105" s="55">
        <f t="shared" si="196"/>
        <v>20.394736842105264</v>
      </c>
      <c r="N105" s="55">
        <f t="shared" si="196"/>
        <v>25.109649122807014</v>
      </c>
      <c r="O105" s="55">
        <f t="shared" ref="O105" si="197">O121/O128*100</f>
        <v>24.879421221864952</v>
      </c>
      <c r="P105" s="55">
        <f t="shared" ref="P105:R105" si="198">P121/P128*100</f>
        <v>26.973684210526315</v>
      </c>
      <c r="Q105" s="55">
        <f t="shared" si="198"/>
        <v>25</v>
      </c>
      <c r="R105" s="55">
        <f t="shared" si="198"/>
        <v>23.264781491002569</v>
      </c>
      <c r="S105" s="55">
        <f t="shared" ref="S105:U105" si="199">S121/S128*100</f>
        <v>24.117647058823529</v>
      </c>
      <c r="T105" s="55">
        <f t="shared" si="199"/>
        <v>23.322683706070286</v>
      </c>
      <c r="U105" s="55">
        <f t="shared" si="199"/>
        <v>23.82639503985828</v>
      </c>
      <c r="V105" s="55">
        <f t="shared" ref="V105:X105" si="200">V121/V128*100</f>
        <v>27.338129496402878</v>
      </c>
      <c r="W105" s="55">
        <f t="shared" si="200"/>
        <v>24.030037546933666</v>
      </c>
      <c r="X105" s="55">
        <f t="shared" si="200"/>
        <v>22.766457680250785</v>
      </c>
      <c r="Y105" s="55">
        <f t="shared" ref="Y105:Z105" si="201">Y121/Y128*100</f>
        <v>18.421052631578945</v>
      </c>
      <c r="Z105" s="55">
        <f t="shared" si="201"/>
        <v>22.522189349112427</v>
      </c>
    </row>
    <row r="106" spans="2:26" x14ac:dyDescent="0.25">
      <c r="B106" s="2" t="s">
        <v>96</v>
      </c>
      <c r="C106" s="55">
        <f t="shared" ref="C106:M106" si="202">C122/C128*100</f>
        <v>10.844748858447488</v>
      </c>
      <c r="D106" s="55">
        <f t="shared" si="202"/>
        <v>14.5985401459854</v>
      </c>
      <c r="E106" s="55">
        <f t="shared" si="202"/>
        <v>11.030741410488245</v>
      </c>
      <c r="F106" s="55">
        <f t="shared" si="202"/>
        <v>8.1855903432666928</v>
      </c>
      <c r="G106" s="55">
        <f t="shared" si="202"/>
        <v>9.2857142857142865</v>
      </c>
      <c r="H106" s="55">
        <f t="shared" si="202"/>
        <v>8.2407739161590836</v>
      </c>
      <c r="I106" s="55">
        <f t="shared" si="202"/>
        <v>8.2489146164978298</v>
      </c>
      <c r="J106" s="55">
        <f t="shared" si="202"/>
        <v>11.229946524064172</v>
      </c>
      <c r="K106" s="55">
        <f t="shared" si="202"/>
        <v>8.4378176889190115</v>
      </c>
      <c r="L106" s="55">
        <f t="shared" si="202"/>
        <v>7.5464396284829718</v>
      </c>
      <c r="M106" s="55">
        <f t="shared" si="202"/>
        <v>4.6052631578947363</v>
      </c>
      <c r="N106" s="55">
        <f>N122/N128*100</f>
        <v>7.3830409356725148</v>
      </c>
      <c r="O106" s="55">
        <f t="shared" ref="O106" si="203">O122/O128*100</f>
        <v>5.707395498392283</v>
      </c>
      <c r="P106" s="55">
        <f t="shared" ref="P106" si="204">P122/P128*100</f>
        <v>7.8947368421052628</v>
      </c>
      <c r="Q106" s="55">
        <f>Q122/Q128*100</f>
        <v>5.833333333333333</v>
      </c>
      <c r="R106" s="55">
        <f t="shared" ref="R106:S106" si="205">R122/R128*100</f>
        <v>4.712939160239932</v>
      </c>
      <c r="S106" s="55">
        <f t="shared" si="205"/>
        <v>7.6470588235294121</v>
      </c>
      <c r="T106" s="55">
        <f>T122/T128*100</f>
        <v>4.9121405750798726</v>
      </c>
      <c r="U106" s="55">
        <f t="shared" ref="U106:V106" si="206">U122/U128*100</f>
        <v>3.0558015943312666</v>
      </c>
      <c r="V106" s="55">
        <f t="shared" si="206"/>
        <v>3.5971223021582732</v>
      </c>
      <c r="W106" s="55">
        <f>W122/W128*100</f>
        <v>3.0871923237380061</v>
      </c>
      <c r="X106" s="55">
        <f t="shared" ref="X106:Y106" si="207">X122/X128*100</f>
        <v>3.8009404388714731</v>
      </c>
      <c r="Y106" s="55">
        <f t="shared" si="207"/>
        <v>2.6315789473684208</v>
      </c>
      <c r="Z106" s="55">
        <f>Z122/Z128*100</f>
        <v>3.7352071005917162</v>
      </c>
    </row>
    <row r="107" spans="2:26" x14ac:dyDescent="0.25">
      <c r="B107" s="2" t="s">
        <v>97</v>
      </c>
      <c r="C107" s="55">
        <f t="shared" ref="C107:N107" si="208">C123/C128*100</f>
        <v>6.0882800608828003</v>
      </c>
      <c r="D107" s="55">
        <f t="shared" si="208"/>
        <v>1.4598540145985401</v>
      </c>
      <c r="E107" s="55">
        <f t="shared" si="208"/>
        <v>5.8589511754068715</v>
      </c>
      <c r="F107" s="55">
        <f t="shared" si="208"/>
        <v>4.2625424368162959</v>
      </c>
      <c r="G107" s="55">
        <f t="shared" si="208"/>
        <v>0.7142857142857143</v>
      </c>
      <c r="H107" s="55">
        <f t="shared" si="208"/>
        <v>4.084557506270154</v>
      </c>
      <c r="I107" s="55">
        <f t="shared" si="208"/>
        <v>3.8712011577424024</v>
      </c>
      <c r="J107" s="55">
        <f t="shared" si="208"/>
        <v>0.53475935828876997</v>
      </c>
      <c r="K107" s="55">
        <f t="shared" si="208"/>
        <v>3.6597763470010167</v>
      </c>
      <c r="L107" s="55">
        <f t="shared" si="208"/>
        <v>3.5990712074303404</v>
      </c>
      <c r="M107" s="55">
        <f t="shared" si="208"/>
        <v>1.9736842105263157</v>
      </c>
      <c r="N107" s="55">
        <f t="shared" si="208"/>
        <v>3.5087719298245612</v>
      </c>
      <c r="O107" s="55">
        <f t="shared" ref="O107" si="209">O123/O128*100</f>
        <v>3.9790996784565915</v>
      </c>
      <c r="P107" s="55">
        <f t="shared" ref="P107:R107" si="210">P123/P128*100</f>
        <v>3.2894736842105261</v>
      </c>
      <c r="Q107" s="55">
        <f t="shared" si="210"/>
        <v>3.939393939393939</v>
      </c>
      <c r="R107" s="55">
        <f t="shared" si="210"/>
        <v>3.8131962296486717</v>
      </c>
      <c r="S107" s="55">
        <f t="shared" ref="S107:U107" si="211">S123/S128*100</f>
        <v>1.7647058823529411</v>
      </c>
      <c r="T107" s="55">
        <f t="shared" si="211"/>
        <v>3.6741214057507987</v>
      </c>
      <c r="U107" s="55">
        <f t="shared" si="211"/>
        <v>4.2958370239149692</v>
      </c>
      <c r="V107" s="55">
        <f t="shared" ref="V107:X107" si="212">V123/V128*100</f>
        <v>2.877697841726619</v>
      </c>
      <c r="W107" s="55">
        <f t="shared" si="212"/>
        <v>4.2136003337505219</v>
      </c>
      <c r="X107" s="55">
        <f t="shared" si="212"/>
        <v>3.4482758620689653</v>
      </c>
      <c r="Y107" s="55">
        <f t="shared" ref="Y107:Z107" si="213">Y123/Y128*100</f>
        <v>3.2894736842105261</v>
      </c>
      <c r="Z107" s="55">
        <f t="shared" si="213"/>
        <v>3.4393491124260356</v>
      </c>
    </row>
    <row r="108" spans="2:26" x14ac:dyDescent="0.25">
      <c r="B108" s="2" t="s">
        <v>98</v>
      </c>
      <c r="C108" s="55">
        <f t="shared" ref="C108:N108" si="214">C124/C128*100</f>
        <v>16.62861491628615</v>
      </c>
      <c r="D108" s="55">
        <f t="shared" si="214"/>
        <v>1.4598540145985401</v>
      </c>
      <c r="E108" s="55">
        <f t="shared" si="214"/>
        <v>15.877034358047016</v>
      </c>
      <c r="F108" s="55">
        <f t="shared" si="214"/>
        <v>19.01169370049038</v>
      </c>
      <c r="G108" s="55">
        <f t="shared" si="214"/>
        <v>2.1428571428571428</v>
      </c>
      <c r="H108" s="55">
        <f t="shared" si="214"/>
        <v>18.165532067359369</v>
      </c>
      <c r="I108" s="55">
        <f t="shared" si="214"/>
        <v>17.619392185238784</v>
      </c>
      <c r="J108" s="55">
        <f t="shared" si="214"/>
        <v>2.6737967914438503</v>
      </c>
      <c r="K108" s="55">
        <f t="shared" si="214"/>
        <v>16.672314469671299</v>
      </c>
      <c r="L108" s="55">
        <f t="shared" si="214"/>
        <v>18.769349845201237</v>
      </c>
      <c r="M108" s="55">
        <f t="shared" si="214"/>
        <v>3.9473684210526314</v>
      </c>
      <c r="N108" s="55">
        <f t="shared" si="214"/>
        <v>17.945906432748536</v>
      </c>
      <c r="O108" s="55">
        <f t="shared" ref="O108" si="215">O124/O128*100</f>
        <v>22.106109324758844</v>
      </c>
      <c r="P108" s="55">
        <f t="shared" ref="P108:R108" si="216">P124/P128*100</f>
        <v>3.9473684210526314</v>
      </c>
      <c r="Q108" s="55">
        <f t="shared" si="216"/>
        <v>21.060606060606059</v>
      </c>
      <c r="R108" s="55">
        <f t="shared" si="216"/>
        <v>25.107112253641816</v>
      </c>
      <c r="S108" s="55">
        <f t="shared" ref="S108:U108" si="217">S124/S128*100</f>
        <v>5.2941176470588234</v>
      </c>
      <c r="T108" s="55">
        <f t="shared" si="217"/>
        <v>23.761980830670925</v>
      </c>
      <c r="U108" s="55">
        <f t="shared" si="217"/>
        <v>26.79362267493357</v>
      </c>
      <c r="V108" s="55">
        <f t="shared" ref="V108:X108" si="218">V124/V128*100</f>
        <v>4.3165467625899279</v>
      </c>
      <c r="W108" s="55">
        <f t="shared" si="218"/>
        <v>25.490196078431371</v>
      </c>
      <c r="X108" s="55">
        <f t="shared" si="218"/>
        <v>28.761755485893413</v>
      </c>
      <c r="Y108" s="55">
        <f t="shared" ref="Y108:Z108" si="219">Y124/Y128*100</f>
        <v>4.6052631578947363</v>
      </c>
      <c r="Z108" s="55">
        <f t="shared" si="219"/>
        <v>27.403846153846157</v>
      </c>
    </row>
    <row r="109" spans="2:26" x14ac:dyDescent="0.25">
      <c r="B109" s="2" t="s">
        <v>99</v>
      </c>
      <c r="C109" s="55">
        <f t="shared" ref="C109:N109" si="220">C125/C128*100</f>
        <v>3.8812785388127851</v>
      </c>
      <c r="D109" s="55">
        <f t="shared" si="220"/>
        <v>13.868613138686131</v>
      </c>
      <c r="E109" s="55">
        <f t="shared" si="220"/>
        <v>4.3761301989150088</v>
      </c>
      <c r="F109" s="55">
        <f t="shared" si="220"/>
        <v>5.3564692568841954</v>
      </c>
      <c r="G109" s="55">
        <f t="shared" si="220"/>
        <v>12.857142857142856</v>
      </c>
      <c r="H109" s="55">
        <f t="shared" si="220"/>
        <v>5.7327122895019702</v>
      </c>
      <c r="I109" s="55">
        <f t="shared" si="220"/>
        <v>7.0911722141823441</v>
      </c>
      <c r="J109" s="55">
        <f t="shared" si="220"/>
        <v>14.438502673796791</v>
      </c>
      <c r="K109" s="55">
        <f t="shared" si="220"/>
        <v>7.5567604201965439</v>
      </c>
      <c r="L109" s="55">
        <f t="shared" si="220"/>
        <v>6.6176470588235299</v>
      </c>
      <c r="M109" s="55">
        <f t="shared" si="220"/>
        <v>13.815789473684212</v>
      </c>
      <c r="N109" s="55">
        <f t="shared" si="220"/>
        <v>7.0175438596491224</v>
      </c>
      <c r="O109" s="55">
        <f t="shared" ref="O109" si="221">O125/O128*100</f>
        <v>5.9485530546623799</v>
      </c>
      <c r="P109" s="55">
        <f t="shared" ref="P109:R109" si="222">P125/P128*100</f>
        <v>10.526315789473683</v>
      </c>
      <c r="Q109" s="55">
        <f t="shared" si="222"/>
        <v>6.2121212121212119</v>
      </c>
      <c r="R109" s="55">
        <f t="shared" si="222"/>
        <v>5.7412167952013711</v>
      </c>
      <c r="S109" s="55">
        <f t="shared" ref="S109:U109" si="223">S125/S128*100</f>
        <v>10.588235294117647</v>
      </c>
      <c r="T109" s="55">
        <f t="shared" si="223"/>
        <v>6.0702875399361016</v>
      </c>
      <c r="U109" s="55">
        <f t="shared" si="223"/>
        <v>5.1815766164747563</v>
      </c>
      <c r="V109" s="55">
        <f t="shared" ref="V109:X109" si="224">V125/V128*100</f>
        <v>7.9136690647482011</v>
      </c>
      <c r="W109" s="55">
        <f t="shared" si="224"/>
        <v>5.3400083437630368</v>
      </c>
      <c r="X109" s="55">
        <f t="shared" si="224"/>
        <v>5.0156739811912221</v>
      </c>
      <c r="Y109" s="55">
        <f t="shared" ref="Y109:Z109" si="225">Y125/Y128*100</f>
        <v>11.842105263157894</v>
      </c>
      <c r="Z109" s="55">
        <f t="shared" si="225"/>
        <v>5.3994082840236688</v>
      </c>
    </row>
    <row r="110" spans="2:26" x14ac:dyDescent="0.25">
      <c r="B110" s="2" t="s">
        <v>100</v>
      </c>
      <c r="C110" s="55">
        <f t="shared" ref="C110:N110" si="226">C126/C128*100</f>
        <v>3.9193302891933026</v>
      </c>
      <c r="D110" s="55">
        <f t="shared" si="226"/>
        <v>6.5693430656934311</v>
      </c>
      <c r="E110" s="55">
        <f t="shared" si="226"/>
        <v>4.0506329113924053</v>
      </c>
      <c r="F110" s="55">
        <f t="shared" si="226"/>
        <v>3.4326669181440965</v>
      </c>
      <c r="G110" s="55">
        <f t="shared" si="226"/>
        <v>3.5714285714285712</v>
      </c>
      <c r="H110" s="55">
        <f t="shared" si="226"/>
        <v>3.4396273737011827</v>
      </c>
      <c r="I110" s="55">
        <f t="shared" si="226"/>
        <v>3.3646888567293773</v>
      </c>
      <c r="J110" s="55">
        <f t="shared" si="226"/>
        <v>8.0213903743315509</v>
      </c>
      <c r="K110" s="55">
        <f t="shared" si="226"/>
        <v>3.6597763470010167</v>
      </c>
      <c r="L110" s="55">
        <f t="shared" si="226"/>
        <v>3.2507739938080498</v>
      </c>
      <c r="M110" s="55">
        <f t="shared" si="226"/>
        <v>6.5789473684210522</v>
      </c>
      <c r="N110" s="55">
        <f t="shared" si="226"/>
        <v>3.435672514619883</v>
      </c>
      <c r="O110" s="55">
        <f t="shared" ref="O110" si="227">O126/O128*100</f>
        <v>2.652733118971061</v>
      </c>
      <c r="P110" s="55">
        <f t="shared" ref="P110:R110" si="228">P126/P128*100</f>
        <v>4.6052631578947363</v>
      </c>
      <c r="Q110" s="55">
        <f t="shared" si="228"/>
        <v>2.7651515151515151</v>
      </c>
      <c r="R110" s="55">
        <f t="shared" si="228"/>
        <v>2.8706083976006855</v>
      </c>
      <c r="S110" s="55">
        <f t="shared" ref="S110:U110" si="229">S126/S128*100</f>
        <v>7.0588235294117645</v>
      </c>
      <c r="T110" s="55">
        <f t="shared" si="229"/>
        <v>3.1549520766773163</v>
      </c>
      <c r="U110" s="55">
        <f t="shared" si="229"/>
        <v>3.3658104517271923</v>
      </c>
      <c r="V110" s="55">
        <f t="shared" ref="V110:X110" si="230">V126/V128*100</f>
        <v>10.071942446043165</v>
      </c>
      <c r="W110" s="55">
        <f t="shared" si="230"/>
        <v>3.7546933667083859</v>
      </c>
      <c r="X110" s="55">
        <f t="shared" si="230"/>
        <v>2.938871473354232</v>
      </c>
      <c r="Y110" s="55">
        <f t="shared" ref="Y110:Z110" si="231">Y126/Y128*100</f>
        <v>6.5789473684210522</v>
      </c>
      <c r="Z110" s="55">
        <f t="shared" si="231"/>
        <v>3.1434911242603549</v>
      </c>
    </row>
    <row r="111" spans="2:26" x14ac:dyDescent="0.25">
      <c r="B111" s="2" t="s">
        <v>101</v>
      </c>
      <c r="C111" s="55">
        <f t="shared" ref="C111:N111" si="232">C127/C128*100</f>
        <v>10.80669710806697</v>
      </c>
      <c r="D111" s="55">
        <f t="shared" si="232"/>
        <v>11.678832116788321</v>
      </c>
      <c r="E111" s="55">
        <f t="shared" si="232"/>
        <v>10.849909584086799</v>
      </c>
      <c r="F111" s="55">
        <f t="shared" si="232"/>
        <v>11.429649188985289</v>
      </c>
      <c r="G111" s="55">
        <f t="shared" si="232"/>
        <v>16.428571428571427</v>
      </c>
      <c r="H111" s="55">
        <f t="shared" si="232"/>
        <v>11.680401289860265</v>
      </c>
      <c r="I111" s="55">
        <f t="shared" si="232"/>
        <v>12.083936324167873</v>
      </c>
      <c r="J111" s="55">
        <f t="shared" si="232"/>
        <v>17.112299465240639</v>
      </c>
      <c r="K111" s="55">
        <f t="shared" si="232"/>
        <v>12.402575398170111</v>
      </c>
      <c r="L111" s="55">
        <f t="shared" si="232"/>
        <v>12.848297213622292</v>
      </c>
      <c r="M111" s="55">
        <f t="shared" si="232"/>
        <v>21.710526315789476</v>
      </c>
      <c r="N111" s="55">
        <f t="shared" si="232"/>
        <v>13.3406432748538</v>
      </c>
      <c r="O111" s="55">
        <f t="shared" ref="O111" si="233">O127/O128*100</f>
        <v>11.454983922829582</v>
      </c>
      <c r="P111" s="55">
        <f t="shared" ref="P111:R111" si="234">P127/P128*100</f>
        <v>13.815789473684212</v>
      </c>
      <c r="Q111" s="55">
        <f t="shared" si="234"/>
        <v>11.59090909090909</v>
      </c>
      <c r="R111" s="55">
        <f t="shared" si="234"/>
        <v>10.839760068551842</v>
      </c>
      <c r="S111" s="55">
        <f t="shared" ref="S111:U111" si="235">S127/S128*100</f>
        <v>18.235294117647058</v>
      </c>
      <c r="T111" s="55">
        <f t="shared" si="235"/>
        <v>11.341853035143771</v>
      </c>
      <c r="U111" s="55">
        <f t="shared" si="235"/>
        <v>8.1045172719220542</v>
      </c>
      <c r="V111" s="55">
        <f t="shared" ref="V111:X111" si="236">V127/V128*100</f>
        <v>15.107913669064748</v>
      </c>
      <c r="W111" s="55">
        <f t="shared" si="236"/>
        <v>8.5106382978723403</v>
      </c>
      <c r="X111" s="55">
        <f t="shared" si="236"/>
        <v>9.4827586206896548</v>
      </c>
      <c r="Y111" s="55">
        <f t="shared" ref="Y111:Z111" si="237">Y127/Y128*100</f>
        <v>20.394736842105264</v>
      </c>
      <c r="Z111" s="55">
        <f t="shared" si="237"/>
        <v>10.096153846153847</v>
      </c>
    </row>
    <row r="112" spans="2:26" x14ac:dyDescent="0.25">
      <c r="B112" s="17" t="s">
        <v>102</v>
      </c>
      <c r="C112" s="130">
        <f t="shared" ref="C112:N112" si="238">SUM(C103:C111)</f>
        <v>99.999999999999986</v>
      </c>
      <c r="D112" s="130">
        <f t="shared" si="238"/>
        <v>99.999999999999972</v>
      </c>
      <c r="E112" s="130">
        <f t="shared" si="238"/>
        <v>100.00000000000001</v>
      </c>
      <c r="F112" s="130">
        <f t="shared" si="238"/>
        <v>100</v>
      </c>
      <c r="G112" s="130">
        <f t="shared" si="238"/>
        <v>100</v>
      </c>
      <c r="H112" s="130">
        <f t="shared" si="238"/>
        <v>100.00000000000001</v>
      </c>
      <c r="I112" s="130">
        <f t="shared" si="238"/>
        <v>100</v>
      </c>
      <c r="J112" s="130">
        <f t="shared" si="238"/>
        <v>99.999999999999986</v>
      </c>
      <c r="K112" s="130">
        <f t="shared" si="238"/>
        <v>99.999999999999986</v>
      </c>
      <c r="L112" s="130">
        <f t="shared" si="238"/>
        <v>100</v>
      </c>
      <c r="M112" s="130">
        <f t="shared" si="238"/>
        <v>100.00000000000001</v>
      </c>
      <c r="N112" s="130">
        <f t="shared" si="238"/>
        <v>99.999999999999986</v>
      </c>
      <c r="O112" s="130">
        <f t="shared" ref="O112" si="239">SUM(O103:O111)</f>
        <v>100</v>
      </c>
      <c r="P112" s="130">
        <f t="shared" ref="P112:R112" si="240">SUM(P103:P111)</f>
        <v>100</v>
      </c>
      <c r="Q112" s="130">
        <f t="shared" si="240"/>
        <v>100.00000000000001</v>
      </c>
      <c r="R112" s="130">
        <f t="shared" si="240"/>
        <v>100</v>
      </c>
      <c r="S112" s="130">
        <f t="shared" ref="S112:U112" si="241">SUM(S103:S111)</f>
        <v>100.00000000000001</v>
      </c>
      <c r="T112" s="130">
        <f t="shared" si="241"/>
        <v>100</v>
      </c>
      <c r="U112" s="130">
        <f t="shared" si="241"/>
        <v>100</v>
      </c>
      <c r="V112" s="130">
        <f t="shared" ref="V112:X112" si="242">SUM(V103:V111)</f>
        <v>100</v>
      </c>
      <c r="W112" s="130">
        <f t="shared" si="242"/>
        <v>100</v>
      </c>
      <c r="X112" s="130">
        <f t="shared" si="242"/>
        <v>99.999999999999986</v>
      </c>
      <c r="Y112" s="130">
        <f t="shared" ref="Y112:Z112" si="243">SUM(Y103:Y111)</f>
        <v>99.999999999999986</v>
      </c>
      <c r="Z112" s="130">
        <f t="shared" si="243"/>
        <v>100</v>
      </c>
    </row>
    <row r="113" spans="2:26" x14ac:dyDescent="0.25">
      <c r="B113" s="2" t="s">
        <v>103</v>
      </c>
      <c r="C113" s="56">
        <f>C128</f>
        <v>2628</v>
      </c>
      <c r="D113" s="55">
        <f t="shared" ref="D113:N113" si="244">D128</f>
        <v>137</v>
      </c>
      <c r="E113" s="56">
        <f t="shared" si="244"/>
        <v>2765</v>
      </c>
      <c r="F113" s="56">
        <f t="shared" si="244"/>
        <v>2651</v>
      </c>
      <c r="G113" s="55">
        <f t="shared" si="244"/>
        <v>140</v>
      </c>
      <c r="H113" s="56">
        <f t="shared" si="244"/>
        <v>2791</v>
      </c>
      <c r="I113" s="56">
        <f t="shared" si="244"/>
        <v>2764</v>
      </c>
      <c r="J113" s="55">
        <f t="shared" si="244"/>
        <v>187</v>
      </c>
      <c r="K113" s="56">
        <f t="shared" si="244"/>
        <v>2951</v>
      </c>
      <c r="L113" s="56">
        <f t="shared" si="244"/>
        <v>2584</v>
      </c>
      <c r="M113" s="55">
        <f>M128</f>
        <v>152</v>
      </c>
      <c r="N113" s="56">
        <f t="shared" si="244"/>
        <v>2736</v>
      </c>
      <c r="O113" s="56">
        <f t="shared" ref="O113" si="245">O128</f>
        <v>2488</v>
      </c>
      <c r="P113" s="55">
        <f>P128</f>
        <v>152</v>
      </c>
      <c r="Q113" s="56">
        <f t="shared" ref="Q113:R113" si="246">Q128</f>
        <v>2640</v>
      </c>
      <c r="R113" s="56">
        <f t="shared" si="246"/>
        <v>2334</v>
      </c>
      <c r="S113" s="55">
        <f>S128</f>
        <v>170</v>
      </c>
      <c r="T113" s="56">
        <f t="shared" ref="T113:U113" si="247">T128</f>
        <v>2504</v>
      </c>
      <c r="U113" s="56">
        <f t="shared" si="247"/>
        <v>2258</v>
      </c>
      <c r="V113" s="55">
        <f>V128</f>
        <v>139</v>
      </c>
      <c r="W113" s="56">
        <f t="shared" ref="W113:X113" si="248">W128</f>
        <v>2397</v>
      </c>
      <c r="X113" s="56">
        <f t="shared" si="248"/>
        <v>2552</v>
      </c>
      <c r="Y113" s="55">
        <f>Y128</f>
        <v>152</v>
      </c>
      <c r="Z113" s="56">
        <f t="shared" ref="Z113" si="249">Z128</f>
        <v>2704</v>
      </c>
    </row>
    <row r="114" spans="2:26" x14ac:dyDescent="0.25">
      <c r="B114" s="41"/>
      <c r="C114" s="3"/>
      <c r="D114" s="3"/>
      <c r="E114" s="3"/>
      <c r="F114" s="3"/>
      <c r="G114" s="3"/>
      <c r="H114" s="3"/>
      <c r="I114" s="3"/>
      <c r="J114" s="3"/>
      <c r="K114" s="3"/>
      <c r="L114" s="3"/>
      <c r="M114" s="3"/>
      <c r="N114" s="3"/>
      <c r="X114" s="161"/>
      <c r="Y114" s="161"/>
      <c r="Z114" s="161"/>
    </row>
    <row r="115" spans="2:26" x14ac:dyDescent="0.25">
      <c r="B115" s="91" t="s">
        <v>316</v>
      </c>
      <c r="C115" s="3"/>
      <c r="D115" s="3"/>
      <c r="E115" s="3"/>
      <c r="F115" s="3"/>
      <c r="G115" s="3"/>
      <c r="H115" s="3"/>
      <c r="I115" s="3"/>
      <c r="J115" s="3"/>
      <c r="K115" s="3"/>
      <c r="L115" s="3"/>
      <c r="M115" s="3"/>
      <c r="N115" s="3"/>
      <c r="X115" s="161"/>
      <c r="Y115" s="161"/>
      <c r="Z115" s="161"/>
    </row>
    <row r="116" spans="2:26" x14ac:dyDescent="0.25">
      <c r="B116" s="14"/>
      <c r="C116" s="3"/>
      <c r="D116" s="3"/>
      <c r="E116" s="3"/>
      <c r="F116" s="3"/>
      <c r="G116" s="3"/>
      <c r="H116" s="3"/>
      <c r="I116" s="3"/>
      <c r="J116" s="3"/>
      <c r="K116" s="3"/>
      <c r="L116" s="3"/>
      <c r="M116" s="3"/>
      <c r="N116" s="3"/>
      <c r="X116" s="161"/>
      <c r="Y116" s="161"/>
      <c r="Z116" s="161"/>
    </row>
    <row r="117" spans="2:26" x14ac:dyDescent="0.25">
      <c r="B117" s="14"/>
      <c r="C117" s="3"/>
      <c r="D117" s="3"/>
      <c r="E117" s="3"/>
      <c r="F117" s="3"/>
      <c r="G117" s="3"/>
      <c r="H117" s="3"/>
      <c r="I117" s="3"/>
      <c r="J117" s="3"/>
      <c r="K117" s="3"/>
      <c r="L117" s="3"/>
      <c r="M117" s="3"/>
      <c r="N117" s="3"/>
      <c r="X117" s="161"/>
      <c r="Y117" s="161"/>
      <c r="Z117" s="161"/>
    </row>
    <row r="118" spans="2:26" x14ac:dyDescent="0.25">
      <c r="B118" s="54" t="s">
        <v>106</v>
      </c>
      <c r="C118" s="3"/>
      <c r="D118" s="3"/>
      <c r="E118" s="3"/>
      <c r="F118" s="3"/>
      <c r="G118" s="3"/>
      <c r="H118" s="3"/>
      <c r="I118" s="3"/>
      <c r="J118" s="3"/>
      <c r="K118" s="3"/>
      <c r="L118" s="3"/>
      <c r="M118" s="3"/>
      <c r="N118" s="3"/>
      <c r="X118" s="161"/>
      <c r="Y118" s="161"/>
      <c r="Z118" s="161"/>
    </row>
    <row r="119" spans="2:26" x14ac:dyDescent="0.25">
      <c r="B119" s="2" t="s">
        <v>93</v>
      </c>
      <c r="C119" s="57">
        <v>176</v>
      </c>
      <c r="D119" s="57">
        <v>13</v>
      </c>
      <c r="E119" s="57">
        <f>C119+D119</f>
        <v>189</v>
      </c>
      <c r="F119" s="57">
        <v>187</v>
      </c>
      <c r="G119" s="57">
        <v>15</v>
      </c>
      <c r="H119" s="57">
        <f>F119+G119</f>
        <v>202</v>
      </c>
      <c r="I119" s="57">
        <v>189</v>
      </c>
      <c r="J119" s="57">
        <v>18</v>
      </c>
      <c r="K119" s="57">
        <f>I119+J119</f>
        <v>207</v>
      </c>
      <c r="L119" s="57">
        <v>193</v>
      </c>
      <c r="M119" s="57">
        <v>19</v>
      </c>
      <c r="N119" s="57">
        <f t="shared" ref="N119:N127" si="250">L119+M119</f>
        <v>212</v>
      </c>
      <c r="O119" s="2">
        <v>210</v>
      </c>
      <c r="P119" s="2">
        <v>20</v>
      </c>
      <c r="Q119" s="57">
        <f t="shared" ref="Q119:Q127" si="251">O119+P119</f>
        <v>230</v>
      </c>
      <c r="R119" s="2">
        <v>203</v>
      </c>
      <c r="S119" s="2">
        <v>21</v>
      </c>
      <c r="T119" s="57">
        <f t="shared" ref="T119:T126" si="252">R119+S119</f>
        <v>224</v>
      </c>
      <c r="U119" s="2">
        <v>228</v>
      </c>
      <c r="V119" s="2">
        <v>25</v>
      </c>
      <c r="W119" s="57">
        <f t="shared" ref="W119:W127" si="253">U119+V119</f>
        <v>253</v>
      </c>
      <c r="X119" s="2">
        <v>230</v>
      </c>
      <c r="Y119" s="2">
        <v>28</v>
      </c>
      <c r="Z119" s="57">
        <v>258</v>
      </c>
    </row>
    <row r="120" spans="2:26" x14ac:dyDescent="0.25">
      <c r="B120" s="2" t="s">
        <v>94</v>
      </c>
      <c r="C120" s="57">
        <v>474</v>
      </c>
      <c r="D120" s="57">
        <v>22</v>
      </c>
      <c r="E120" s="57">
        <f t="shared" ref="E120:E127" si="254">C120+D120</f>
        <v>496</v>
      </c>
      <c r="F120" s="57">
        <v>428</v>
      </c>
      <c r="G120" s="57">
        <v>20</v>
      </c>
      <c r="H120" s="57">
        <f t="shared" ref="H120:H127" si="255">F120+G120</f>
        <v>448</v>
      </c>
      <c r="I120" s="57">
        <v>437</v>
      </c>
      <c r="J120" s="57">
        <v>27</v>
      </c>
      <c r="K120" s="57">
        <f t="shared" ref="K120:K127" si="256">I120+J120</f>
        <v>464</v>
      </c>
      <c r="L120" s="57">
        <v>375</v>
      </c>
      <c r="M120" s="57">
        <v>22</v>
      </c>
      <c r="N120" s="57">
        <f t="shared" si="250"/>
        <v>397</v>
      </c>
      <c r="O120" s="2">
        <v>369</v>
      </c>
      <c r="P120" s="2">
        <v>24</v>
      </c>
      <c r="Q120" s="57">
        <f t="shared" si="251"/>
        <v>393</v>
      </c>
      <c r="R120" s="2">
        <v>349</v>
      </c>
      <c r="S120" s="2">
        <v>22</v>
      </c>
      <c r="T120" s="57">
        <f t="shared" si="252"/>
        <v>371</v>
      </c>
      <c r="U120" s="2">
        <v>345</v>
      </c>
      <c r="V120" s="2">
        <v>15</v>
      </c>
      <c r="W120" s="57">
        <f t="shared" si="253"/>
        <v>360</v>
      </c>
      <c r="X120" s="2">
        <v>377</v>
      </c>
      <c r="Y120" s="2">
        <v>21</v>
      </c>
      <c r="Z120" s="57">
        <v>398</v>
      </c>
    </row>
    <row r="121" spans="2:26" x14ac:dyDescent="0.25">
      <c r="B121" s="2" t="s">
        <v>95</v>
      </c>
      <c r="C121" s="57">
        <v>607</v>
      </c>
      <c r="D121" s="57">
        <v>34</v>
      </c>
      <c r="E121" s="57">
        <f t="shared" si="254"/>
        <v>641</v>
      </c>
      <c r="F121" s="57">
        <v>666</v>
      </c>
      <c r="G121" s="57">
        <v>42</v>
      </c>
      <c r="H121" s="57">
        <f t="shared" si="255"/>
        <v>708</v>
      </c>
      <c r="I121" s="57">
        <v>693</v>
      </c>
      <c r="J121" s="57">
        <v>41</v>
      </c>
      <c r="K121" s="57">
        <f t="shared" si="256"/>
        <v>734</v>
      </c>
      <c r="L121" s="57">
        <v>656</v>
      </c>
      <c r="M121" s="57">
        <v>31</v>
      </c>
      <c r="N121" s="57">
        <f t="shared" si="250"/>
        <v>687</v>
      </c>
      <c r="O121" s="2">
        <v>619</v>
      </c>
      <c r="P121" s="2">
        <v>41</v>
      </c>
      <c r="Q121" s="57">
        <f t="shared" si="251"/>
        <v>660</v>
      </c>
      <c r="R121" s="2">
        <v>543</v>
      </c>
      <c r="S121" s="2">
        <v>41</v>
      </c>
      <c r="T121" s="57">
        <f t="shared" si="252"/>
        <v>584</v>
      </c>
      <c r="U121" s="2">
        <v>538</v>
      </c>
      <c r="V121" s="2">
        <v>38</v>
      </c>
      <c r="W121" s="57">
        <f t="shared" si="253"/>
        <v>576</v>
      </c>
      <c r="X121" s="2">
        <v>581</v>
      </c>
      <c r="Y121" s="2">
        <v>28</v>
      </c>
      <c r="Z121" s="57">
        <v>609</v>
      </c>
    </row>
    <row r="122" spans="2:26" x14ac:dyDescent="0.25">
      <c r="B122" s="2" t="s">
        <v>96</v>
      </c>
      <c r="C122" s="57">
        <v>285</v>
      </c>
      <c r="D122" s="57">
        <v>20</v>
      </c>
      <c r="E122" s="57">
        <f t="shared" si="254"/>
        <v>305</v>
      </c>
      <c r="F122" s="57">
        <v>217</v>
      </c>
      <c r="G122" s="57">
        <v>13</v>
      </c>
      <c r="H122" s="57">
        <f t="shared" si="255"/>
        <v>230</v>
      </c>
      <c r="I122" s="57">
        <v>228</v>
      </c>
      <c r="J122" s="57">
        <v>21</v>
      </c>
      <c r="K122" s="57">
        <f t="shared" si="256"/>
        <v>249</v>
      </c>
      <c r="L122" s="57">
        <v>195</v>
      </c>
      <c r="M122" s="57">
        <v>7</v>
      </c>
      <c r="N122" s="57">
        <f t="shared" si="250"/>
        <v>202</v>
      </c>
      <c r="O122" s="2">
        <v>142</v>
      </c>
      <c r="P122" s="2">
        <v>12</v>
      </c>
      <c r="Q122" s="57">
        <f t="shared" si="251"/>
        <v>154</v>
      </c>
      <c r="R122" s="2">
        <v>110</v>
      </c>
      <c r="S122" s="2">
        <v>13</v>
      </c>
      <c r="T122" s="57">
        <f t="shared" si="252"/>
        <v>123</v>
      </c>
      <c r="U122" s="2">
        <v>69</v>
      </c>
      <c r="V122" s="2">
        <v>5</v>
      </c>
      <c r="W122" s="57">
        <f t="shared" si="253"/>
        <v>74</v>
      </c>
      <c r="X122" s="2">
        <v>97</v>
      </c>
      <c r="Y122" s="2">
        <v>4</v>
      </c>
      <c r="Z122" s="57">
        <v>101</v>
      </c>
    </row>
    <row r="123" spans="2:26" x14ac:dyDescent="0.25">
      <c r="B123" s="2" t="s">
        <v>97</v>
      </c>
      <c r="C123" s="57">
        <v>160</v>
      </c>
      <c r="D123" s="57">
        <v>2</v>
      </c>
      <c r="E123" s="57">
        <f t="shared" si="254"/>
        <v>162</v>
      </c>
      <c r="F123" s="57">
        <v>113</v>
      </c>
      <c r="G123" s="57">
        <v>1</v>
      </c>
      <c r="H123" s="57">
        <f t="shared" si="255"/>
        <v>114</v>
      </c>
      <c r="I123" s="57">
        <v>107</v>
      </c>
      <c r="J123" s="57">
        <v>1</v>
      </c>
      <c r="K123" s="57">
        <f t="shared" si="256"/>
        <v>108</v>
      </c>
      <c r="L123" s="57">
        <v>93</v>
      </c>
      <c r="M123" s="57">
        <v>3</v>
      </c>
      <c r="N123" s="57">
        <f t="shared" si="250"/>
        <v>96</v>
      </c>
      <c r="O123" s="2">
        <v>99</v>
      </c>
      <c r="P123" s="2">
        <v>5</v>
      </c>
      <c r="Q123" s="57">
        <f t="shared" si="251"/>
        <v>104</v>
      </c>
      <c r="R123" s="2">
        <v>89</v>
      </c>
      <c r="S123" s="2">
        <v>3</v>
      </c>
      <c r="T123" s="57">
        <f t="shared" si="252"/>
        <v>92</v>
      </c>
      <c r="U123" s="2">
        <v>97</v>
      </c>
      <c r="V123" s="2">
        <v>4</v>
      </c>
      <c r="W123" s="57">
        <f t="shared" si="253"/>
        <v>101</v>
      </c>
      <c r="X123" s="2">
        <v>88</v>
      </c>
      <c r="Y123" s="2">
        <v>5</v>
      </c>
      <c r="Z123" s="57">
        <v>93</v>
      </c>
    </row>
    <row r="124" spans="2:26" x14ac:dyDescent="0.25">
      <c r="B124" s="2" t="s">
        <v>98</v>
      </c>
      <c r="C124" s="57">
        <v>437</v>
      </c>
      <c r="D124" s="57">
        <v>2</v>
      </c>
      <c r="E124" s="57">
        <f t="shared" si="254"/>
        <v>439</v>
      </c>
      <c r="F124" s="57">
        <v>504</v>
      </c>
      <c r="G124" s="57">
        <v>3</v>
      </c>
      <c r="H124" s="57">
        <f t="shared" si="255"/>
        <v>507</v>
      </c>
      <c r="I124" s="57">
        <v>487</v>
      </c>
      <c r="J124" s="57">
        <v>5</v>
      </c>
      <c r="K124" s="57">
        <f t="shared" si="256"/>
        <v>492</v>
      </c>
      <c r="L124" s="57">
        <v>485</v>
      </c>
      <c r="M124" s="57">
        <v>6</v>
      </c>
      <c r="N124" s="57">
        <f t="shared" si="250"/>
        <v>491</v>
      </c>
      <c r="O124" s="2">
        <v>550</v>
      </c>
      <c r="P124" s="2">
        <v>6</v>
      </c>
      <c r="Q124" s="57">
        <f t="shared" si="251"/>
        <v>556</v>
      </c>
      <c r="R124" s="2">
        <v>586</v>
      </c>
      <c r="S124" s="2">
        <v>9</v>
      </c>
      <c r="T124" s="57">
        <f t="shared" si="252"/>
        <v>595</v>
      </c>
      <c r="U124" s="2">
        <v>605</v>
      </c>
      <c r="V124" s="2">
        <v>6</v>
      </c>
      <c r="W124" s="57">
        <f t="shared" si="253"/>
        <v>611</v>
      </c>
      <c r="X124" s="2">
        <v>734</v>
      </c>
      <c r="Y124" s="2">
        <v>7</v>
      </c>
      <c r="Z124" s="57">
        <v>741</v>
      </c>
    </row>
    <row r="125" spans="2:26" x14ac:dyDescent="0.25">
      <c r="B125" s="2" t="s">
        <v>99</v>
      </c>
      <c r="C125" s="57">
        <v>102</v>
      </c>
      <c r="D125" s="57">
        <v>19</v>
      </c>
      <c r="E125" s="57">
        <f t="shared" si="254"/>
        <v>121</v>
      </c>
      <c r="F125" s="57">
        <v>142</v>
      </c>
      <c r="G125" s="57">
        <v>18</v>
      </c>
      <c r="H125" s="57">
        <f t="shared" si="255"/>
        <v>160</v>
      </c>
      <c r="I125" s="57">
        <v>196</v>
      </c>
      <c r="J125" s="57">
        <v>27</v>
      </c>
      <c r="K125" s="57">
        <f t="shared" si="256"/>
        <v>223</v>
      </c>
      <c r="L125" s="57">
        <v>171</v>
      </c>
      <c r="M125" s="57">
        <v>21</v>
      </c>
      <c r="N125" s="57">
        <f t="shared" si="250"/>
        <v>192</v>
      </c>
      <c r="O125" s="2">
        <v>148</v>
      </c>
      <c r="P125" s="2">
        <v>16</v>
      </c>
      <c r="Q125" s="57">
        <f t="shared" si="251"/>
        <v>164</v>
      </c>
      <c r="R125" s="2">
        <v>134</v>
      </c>
      <c r="S125" s="2">
        <v>18</v>
      </c>
      <c r="T125" s="57">
        <f t="shared" si="252"/>
        <v>152</v>
      </c>
      <c r="U125" s="2">
        <v>117</v>
      </c>
      <c r="V125" s="2">
        <v>11</v>
      </c>
      <c r="W125" s="57">
        <f t="shared" si="253"/>
        <v>128</v>
      </c>
      <c r="X125" s="2">
        <v>128</v>
      </c>
      <c r="Y125" s="2">
        <v>18</v>
      </c>
      <c r="Z125" s="57">
        <v>146</v>
      </c>
    </row>
    <row r="126" spans="2:26" x14ac:dyDescent="0.25">
      <c r="B126" s="2" t="s">
        <v>100</v>
      </c>
      <c r="C126" s="57">
        <v>103</v>
      </c>
      <c r="D126" s="57">
        <v>9</v>
      </c>
      <c r="E126" s="57">
        <f t="shared" si="254"/>
        <v>112</v>
      </c>
      <c r="F126" s="57">
        <v>91</v>
      </c>
      <c r="G126" s="57">
        <v>5</v>
      </c>
      <c r="H126" s="57">
        <f t="shared" si="255"/>
        <v>96</v>
      </c>
      <c r="I126" s="57">
        <v>93</v>
      </c>
      <c r="J126" s="57">
        <v>15</v>
      </c>
      <c r="K126" s="57">
        <f t="shared" si="256"/>
        <v>108</v>
      </c>
      <c r="L126" s="57">
        <v>84</v>
      </c>
      <c r="M126" s="57">
        <v>10</v>
      </c>
      <c r="N126" s="57">
        <f t="shared" si="250"/>
        <v>94</v>
      </c>
      <c r="O126" s="2">
        <v>66</v>
      </c>
      <c r="P126" s="2">
        <v>7</v>
      </c>
      <c r="Q126" s="57">
        <f t="shared" si="251"/>
        <v>73</v>
      </c>
      <c r="R126" s="2">
        <v>67</v>
      </c>
      <c r="S126" s="2">
        <v>12</v>
      </c>
      <c r="T126" s="57">
        <f t="shared" si="252"/>
        <v>79</v>
      </c>
      <c r="U126" s="2">
        <v>76</v>
      </c>
      <c r="V126" s="2">
        <v>14</v>
      </c>
      <c r="W126" s="57">
        <f t="shared" si="253"/>
        <v>90</v>
      </c>
      <c r="X126" s="2">
        <v>75</v>
      </c>
      <c r="Y126" s="2">
        <v>10</v>
      </c>
      <c r="Z126" s="57">
        <v>85</v>
      </c>
    </row>
    <row r="127" spans="2:26" x14ac:dyDescent="0.25">
      <c r="B127" s="2" t="s">
        <v>101</v>
      </c>
      <c r="C127" s="57">
        <v>284</v>
      </c>
      <c r="D127" s="57">
        <v>16</v>
      </c>
      <c r="E127" s="57">
        <f t="shared" si="254"/>
        <v>300</v>
      </c>
      <c r="F127" s="57">
        <v>303</v>
      </c>
      <c r="G127" s="57">
        <v>23</v>
      </c>
      <c r="H127" s="57">
        <f t="shared" si="255"/>
        <v>326</v>
      </c>
      <c r="I127" s="57">
        <v>334</v>
      </c>
      <c r="J127" s="57">
        <v>32</v>
      </c>
      <c r="K127" s="57">
        <f t="shared" si="256"/>
        <v>366</v>
      </c>
      <c r="L127" s="57">
        <v>332</v>
      </c>
      <c r="M127" s="57">
        <v>33</v>
      </c>
      <c r="N127" s="57">
        <f t="shared" si="250"/>
        <v>365</v>
      </c>
      <c r="O127" s="2">
        <v>285</v>
      </c>
      <c r="P127" s="2">
        <v>21</v>
      </c>
      <c r="Q127" s="57">
        <f t="shared" si="251"/>
        <v>306</v>
      </c>
      <c r="R127" s="2">
        <v>253</v>
      </c>
      <c r="S127" s="2">
        <v>31</v>
      </c>
      <c r="T127" s="57">
        <f>R127+S127</f>
        <v>284</v>
      </c>
      <c r="U127" s="2">
        <v>183</v>
      </c>
      <c r="V127" s="2">
        <v>21</v>
      </c>
      <c r="W127" s="57">
        <f t="shared" si="253"/>
        <v>204</v>
      </c>
      <c r="X127" s="2">
        <v>242</v>
      </c>
      <c r="Y127" s="2">
        <v>31</v>
      </c>
      <c r="Z127" s="57">
        <v>273</v>
      </c>
    </row>
    <row r="128" spans="2:26" x14ac:dyDescent="0.25">
      <c r="B128" s="6"/>
      <c r="C128" s="58">
        <f t="shared" ref="C128:E128" si="257">SUM(C119:C127)</f>
        <v>2628</v>
      </c>
      <c r="D128" s="57">
        <f t="shared" si="257"/>
        <v>137</v>
      </c>
      <c r="E128" s="58">
        <f t="shared" si="257"/>
        <v>2765</v>
      </c>
      <c r="F128" s="58">
        <f>SUM(F119:F127)</f>
        <v>2651</v>
      </c>
      <c r="G128" s="57">
        <f>SUM(G119:G127)</f>
        <v>140</v>
      </c>
      <c r="H128" s="58">
        <f t="shared" ref="H128" si="258">SUM(H119:H127)</f>
        <v>2791</v>
      </c>
      <c r="I128" s="58">
        <f>SUM(I119:I127)</f>
        <v>2764</v>
      </c>
      <c r="J128" s="57">
        <f>SUM(J119:J127)</f>
        <v>187</v>
      </c>
      <c r="K128" s="58">
        <f t="shared" ref="K128" si="259">SUM(K119:K127)</f>
        <v>2951</v>
      </c>
      <c r="L128" s="58">
        <f>SUM(L119:L127)</f>
        <v>2584</v>
      </c>
      <c r="M128" s="57">
        <f>SUM(M119:M127)</f>
        <v>152</v>
      </c>
      <c r="N128" s="58">
        <f t="shared" ref="N128" si="260">SUM(N119:N127)</f>
        <v>2736</v>
      </c>
      <c r="O128" s="13">
        <f>SUM(O119:O127)</f>
        <v>2488</v>
      </c>
      <c r="P128" s="2">
        <f>SUM(P119:P127)</f>
        <v>152</v>
      </c>
      <c r="Q128" s="58">
        <f t="shared" ref="Q128" si="261">SUM(Q119:Q127)</f>
        <v>2640</v>
      </c>
      <c r="R128" s="13">
        <f>SUM(R119:R127)</f>
        <v>2334</v>
      </c>
      <c r="S128" s="2">
        <f>SUM(S119:S127)</f>
        <v>170</v>
      </c>
      <c r="T128" s="58">
        <f t="shared" ref="T128" si="262">SUM(T119:T127)</f>
        <v>2504</v>
      </c>
      <c r="U128" s="13">
        <f>SUM(U119:U127)</f>
        <v>2258</v>
      </c>
      <c r="V128" s="2">
        <f>SUM(V119:V127)</f>
        <v>139</v>
      </c>
      <c r="W128" s="58">
        <f t="shared" ref="W128" si="263">SUM(W119:W127)</f>
        <v>2397</v>
      </c>
      <c r="X128" s="13">
        <v>2552</v>
      </c>
      <c r="Y128" s="2">
        <v>152</v>
      </c>
      <c r="Z128" s="58">
        <v>2704</v>
      </c>
    </row>
    <row r="129" spans="2:26" x14ac:dyDescent="0.25">
      <c r="B129" s="6"/>
      <c r="X129" s="161"/>
      <c r="Y129" s="161"/>
      <c r="Z129" s="161"/>
    </row>
    <row r="130" spans="2:26" x14ac:dyDescent="0.25">
      <c r="X130" s="161"/>
      <c r="Y130" s="161"/>
      <c r="Z130" s="161"/>
    </row>
    <row r="131" spans="2:26" x14ac:dyDescent="0.25">
      <c r="X131" s="161"/>
      <c r="Y131" s="161"/>
      <c r="Z131" s="161"/>
    </row>
    <row r="132" spans="2:26" ht="18.75" x14ac:dyDescent="0.3">
      <c r="B132" s="18" t="s">
        <v>134</v>
      </c>
      <c r="C132" s="186">
        <v>2014</v>
      </c>
      <c r="D132" s="186"/>
      <c r="E132" s="186"/>
      <c r="F132" s="186">
        <v>2015</v>
      </c>
      <c r="G132" s="186"/>
      <c r="H132" s="186"/>
      <c r="I132" s="186">
        <v>2016</v>
      </c>
      <c r="J132" s="186"/>
      <c r="K132" s="186"/>
      <c r="L132" s="186">
        <v>2017</v>
      </c>
      <c r="M132" s="186"/>
      <c r="N132" s="186"/>
      <c r="O132" s="186">
        <v>2018</v>
      </c>
      <c r="P132" s="186"/>
      <c r="Q132" s="186"/>
      <c r="R132" s="186">
        <v>2019</v>
      </c>
      <c r="S132" s="186"/>
      <c r="T132" s="186"/>
      <c r="U132" s="186">
        <v>2020</v>
      </c>
      <c r="V132" s="186"/>
      <c r="W132" s="186"/>
      <c r="X132" s="186">
        <v>2021</v>
      </c>
      <c r="Y132" s="186"/>
      <c r="Z132" s="186"/>
    </row>
    <row r="133" spans="2:26" ht="18.75" x14ac:dyDescent="0.3">
      <c r="B133" s="20"/>
      <c r="C133" s="53" t="s">
        <v>104</v>
      </c>
      <c r="D133" s="53" t="s">
        <v>105</v>
      </c>
      <c r="E133" s="53" t="s">
        <v>84</v>
      </c>
      <c r="F133" s="53" t="s">
        <v>104</v>
      </c>
      <c r="G133" s="53" t="s">
        <v>105</v>
      </c>
      <c r="H133" s="53" t="s">
        <v>84</v>
      </c>
      <c r="I133" s="53" t="s">
        <v>104</v>
      </c>
      <c r="J133" s="53" t="s">
        <v>105</v>
      </c>
      <c r="K133" s="53" t="s">
        <v>84</v>
      </c>
      <c r="L133" s="53" t="s">
        <v>104</v>
      </c>
      <c r="M133" s="53" t="s">
        <v>105</v>
      </c>
      <c r="N133" s="53" t="s">
        <v>84</v>
      </c>
      <c r="O133" s="53" t="s">
        <v>104</v>
      </c>
      <c r="P133" s="53" t="s">
        <v>105</v>
      </c>
      <c r="Q133" s="53" t="s">
        <v>84</v>
      </c>
      <c r="R133" s="53" t="s">
        <v>104</v>
      </c>
      <c r="S133" s="53" t="s">
        <v>105</v>
      </c>
      <c r="T133" s="53" t="s">
        <v>84</v>
      </c>
      <c r="U133" s="53" t="s">
        <v>104</v>
      </c>
      <c r="V133" s="53" t="s">
        <v>105</v>
      </c>
      <c r="W133" s="53" t="s">
        <v>84</v>
      </c>
      <c r="X133" s="53" t="s">
        <v>104</v>
      </c>
      <c r="Y133" s="53" t="s">
        <v>105</v>
      </c>
      <c r="Z133" s="53" t="s">
        <v>84</v>
      </c>
    </row>
    <row r="134" spans="2:26" x14ac:dyDescent="0.25">
      <c r="B134" s="54" t="s">
        <v>258</v>
      </c>
      <c r="C134" s="22"/>
      <c r="D134" s="22"/>
      <c r="E134" s="22"/>
      <c r="F134" s="22"/>
      <c r="G134" s="22"/>
      <c r="H134" s="22"/>
      <c r="I134" s="22"/>
      <c r="X134" s="161"/>
      <c r="Y134" s="161"/>
      <c r="Z134" s="161"/>
    </row>
    <row r="135" spans="2:26" x14ac:dyDescent="0.25">
      <c r="B135" s="2" t="s">
        <v>93</v>
      </c>
      <c r="C135" s="55">
        <f t="shared" ref="C135" si="264">C151/C160*100</f>
        <v>13.270980788675429</v>
      </c>
      <c r="D135" s="55">
        <f>D151/D160*100</f>
        <v>10.59322033898305</v>
      </c>
      <c r="E135" s="55">
        <f t="shared" ref="E135" si="265">E151/E160*100</f>
        <v>13.120229007633588</v>
      </c>
      <c r="F135" s="55">
        <f>F151/F160*100</f>
        <v>13.650228774783935</v>
      </c>
      <c r="G135" s="55">
        <f>G151/G160*100</f>
        <v>12.612612612612612</v>
      </c>
      <c r="H135" s="55">
        <f t="shared" ref="H135" si="266">H151/H160*100</f>
        <v>13.594802694898942</v>
      </c>
      <c r="I135" s="55">
        <f t="shared" ref="I135:Q135" si="267">I151/I160*100</f>
        <v>14.37125748502994</v>
      </c>
      <c r="J135" s="55">
        <f t="shared" si="267"/>
        <v>12.015503875968992</v>
      </c>
      <c r="K135" s="55">
        <f t="shared" si="267"/>
        <v>14.222981214930472</v>
      </c>
      <c r="L135" s="55">
        <f t="shared" si="267"/>
        <v>15.771458662453924</v>
      </c>
      <c r="M135" s="55">
        <f t="shared" si="267"/>
        <v>13.524590163934427</v>
      </c>
      <c r="N135" s="55">
        <f t="shared" si="267"/>
        <v>15.635823849579417</v>
      </c>
      <c r="O135" s="55">
        <f t="shared" si="267"/>
        <v>15.149272144090798</v>
      </c>
      <c r="P135" s="55">
        <f t="shared" si="267"/>
        <v>15.811965811965811</v>
      </c>
      <c r="Q135" s="55">
        <f t="shared" si="267"/>
        <v>15.185444366689993</v>
      </c>
      <c r="R135" s="55">
        <f t="shared" ref="R135:T135" si="268">R151/R160*100</f>
        <v>14.363266229359873</v>
      </c>
      <c r="S135" s="55">
        <f t="shared" si="268"/>
        <v>14.909090909090908</v>
      </c>
      <c r="T135" s="55">
        <f t="shared" si="268"/>
        <v>14.395229982964224</v>
      </c>
      <c r="U135" s="55">
        <f t="shared" ref="U135:W135" si="269">U151/U160*100</f>
        <v>14.351081530782031</v>
      </c>
      <c r="V135" s="55">
        <f t="shared" si="269"/>
        <v>14.76510067114094</v>
      </c>
      <c r="W135" s="55">
        <f t="shared" si="269"/>
        <v>14.375244810027418</v>
      </c>
      <c r="X135" s="55">
        <f t="shared" ref="X135:Z135" si="270">X151/X160*100</f>
        <v>14.468654434250764</v>
      </c>
      <c r="Y135" s="55">
        <f t="shared" si="270"/>
        <v>17.589576547231271</v>
      </c>
      <c r="Z135" s="55">
        <f t="shared" si="270"/>
        <v>14.641632063549379</v>
      </c>
    </row>
    <row r="136" spans="2:26" x14ac:dyDescent="0.25">
      <c r="B136" s="2" t="s">
        <v>94</v>
      </c>
      <c r="C136" s="55">
        <f t="shared" ref="C136" si="271">C152/C160*100</f>
        <v>15.546006066734074</v>
      </c>
      <c r="D136" s="55">
        <f>D152/D160*100</f>
        <v>14.83050847457627</v>
      </c>
      <c r="E136" s="55">
        <f t="shared" ref="E136:F136" si="272">E152/E160*100</f>
        <v>15.505725190839694</v>
      </c>
      <c r="F136" s="55">
        <f t="shared" si="272"/>
        <v>15.378749364514487</v>
      </c>
      <c r="G136" s="55">
        <f>G152/G160*100</f>
        <v>14.864864864864865</v>
      </c>
      <c r="H136" s="55">
        <f t="shared" ref="H136:I136" si="273">H152/H160*100</f>
        <v>15.351299326275264</v>
      </c>
      <c r="I136" s="55">
        <f t="shared" si="273"/>
        <v>16.089560010413955</v>
      </c>
      <c r="J136" s="55">
        <f>J152/J160*100</f>
        <v>17.054263565891471</v>
      </c>
      <c r="K136" s="55">
        <f>K152/K160*100</f>
        <v>16.150280556233227</v>
      </c>
      <c r="L136" s="55">
        <f t="shared" ref="L136" si="274">L152/L160*100</f>
        <v>15.508162190626646</v>
      </c>
      <c r="M136" s="55">
        <f>M152/M160*100</f>
        <v>15.573770491803279</v>
      </c>
      <c r="N136" s="55">
        <f>N152/N160*100</f>
        <v>15.512122711528948</v>
      </c>
      <c r="O136" s="55">
        <f t="shared" ref="O136" si="275">O152/O160*100</f>
        <v>16.506291635825317</v>
      </c>
      <c r="P136" s="55">
        <f>P152/P160*100</f>
        <v>17.094017094017094</v>
      </c>
      <c r="Q136" s="55">
        <f>Q152/Q160*100</f>
        <v>16.5383718217868</v>
      </c>
      <c r="R136" s="55">
        <f t="shared" ref="R136" si="276">R152/R160*100</f>
        <v>16.738294503505994</v>
      </c>
      <c r="S136" s="55">
        <f>S152/S160*100</f>
        <v>14.181818181818182</v>
      </c>
      <c r="T136" s="55">
        <f>T152/T160*100</f>
        <v>16.588586030664395</v>
      </c>
      <c r="U136" s="55">
        <f t="shared" ref="U136" si="277">U152/U160*100</f>
        <v>17.179700499168053</v>
      </c>
      <c r="V136" s="55">
        <f>V152/V160*100</f>
        <v>18.120805369127517</v>
      </c>
      <c r="W136" s="55">
        <f>W152/W160*100</f>
        <v>17.234625930278106</v>
      </c>
      <c r="X136" s="55">
        <f t="shared" ref="X136" si="278">X152/X160*100</f>
        <v>16.418195718654435</v>
      </c>
      <c r="Y136" s="55">
        <f>Y152/Y160*100</f>
        <v>14.983713355048861</v>
      </c>
      <c r="Z136" s="55">
        <f>Z152/Z160*100</f>
        <v>16.338689294096405</v>
      </c>
    </row>
    <row r="137" spans="2:26" x14ac:dyDescent="0.25">
      <c r="B137" s="2" t="s">
        <v>95</v>
      </c>
      <c r="C137" s="55">
        <f t="shared" ref="C137:J137" si="279">C153/C160*100</f>
        <v>26.263902932254801</v>
      </c>
      <c r="D137" s="55">
        <f t="shared" si="279"/>
        <v>25.847457627118644</v>
      </c>
      <c r="E137" s="55">
        <f t="shared" si="279"/>
        <v>26.240458015267176</v>
      </c>
      <c r="F137" s="55">
        <f t="shared" si="279"/>
        <v>26.741230299949159</v>
      </c>
      <c r="G137" s="55">
        <f t="shared" si="279"/>
        <v>25.675675675675674</v>
      </c>
      <c r="H137" s="55">
        <f t="shared" si="279"/>
        <v>26.684311838306062</v>
      </c>
      <c r="I137" s="55">
        <f t="shared" si="279"/>
        <v>26.633689143452226</v>
      </c>
      <c r="J137" s="55">
        <f t="shared" si="279"/>
        <v>22.093023255813954</v>
      </c>
      <c r="K137" s="55">
        <f>K153/K160*100</f>
        <v>26.347889729202244</v>
      </c>
      <c r="L137" s="55">
        <f>L153/L160*100</f>
        <v>26.382306477093209</v>
      </c>
      <c r="M137" s="55">
        <f t="shared" ref="M137" si="280">M153/M160*100</f>
        <v>22.950819672131146</v>
      </c>
      <c r="N137" s="55">
        <f>N153/N160*100</f>
        <v>26.175160811479465</v>
      </c>
      <c r="O137" s="55">
        <f>O153/O160*100</f>
        <v>28.571428571428569</v>
      </c>
      <c r="P137" s="55">
        <f t="shared" ref="P137" si="281">P153/P160*100</f>
        <v>26.923076923076923</v>
      </c>
      <c r="Q137" s="55">
        <f>Q153/Q160*100</f>
        <v>28.481455563331</v>
      </c>
      <c r="R137" s="55">
        <f>R153/R160*100</f>
        <v>26.622935987333186</v>
      </c>
      <c r="S137" s="55">
        <f t="shared" ref="S137" si="282">S153/S160*100</f>
        <v>28.72727272727273</v>
      </c>
      <c r="T137" s="55">
        <f>T153/T160*100</f>
        <v>26.746166950596251</v>
      </c>
      <c r="U137" s="55">
        <f>U153/U160*100</f>
        <v>27.308652246256237</v>
      </c>
      <c r="V137" s="55">
        <f t="shared" ref="V137" si="283">V153/V160*100</f>
        <v>29.865771812080538</v>
      </c>
      <c r="W137" s="55">
        <f>W153/W160*100</f>
        <v>27.457892675283979</v>
      </c>
      <c r="X137" s="55">
        <f>X153/X160*100</f>
        <v>28.841743119266056</v>
      </c>
      <c r="Y137" s="55">
        <f t="shared" ref="Y137" si="284">Y153/Y160*100</f>
        <v>29.31596091205212</v>
      </c>
      <c r="Z137" s="55">
        <f>Z153/Z160*100</f>
        <v>28.868026719624478</v>
      </c>
    </row>
    <row r="138" spans="2:26" x14ac:dyDescent="0.25">
      <c r="B138" s="2" t="s">
        <v>96</v>
      </c>
      <c r="C138" s="55">
        <f t="shared" ref="C138:K138" si="285">C154/C160*100</f>
        <v>7.9373104145601614</v>
      </c>
      <c r="D138" s="55">
        <f t="shared" si="285"/>
        <v>13.983050847457626</v>
      </c>
      <c r="E138" s="55">
        <f t="shared" si="285"/>
        <v>8.2776717557251906</v>
      </c>
      <c r="F138" s="55">
        <f t="shared" si="285"/>
        <v>8.1087951194712762</v>
      </c>
      <c r="G138" s="55">
        <f t="shared" si="285"/>
        <v>13.513513513513514</v>
      </c>
      <c r="H138" s="55">
        <f t="shared" si="285"/>
        <v>8.3974975938402316</v>
      </c>
      <c r="I138" s="55">
        <f t="shared" si="285"/>
        <v>7.5240822702421246</v>
      </c>
      <c r="J138" s="55">
        <f t="shared" si="285"/>
        <v>13.953488372093023</v>
      </c>
      <c r="K138" s="55">
        <f t="shared" si="285"/>
        <v>7.9287631129543792</v>
      </c>
      <c r="L138" s="55">
        <f t="shared" ref="L138:N138" si="286">L154/L160*100</f>
        <v>7.4776197998946818</v>
      </c>
      <c r="M138" s="55">
        <f t="shared" si="286"/>
        <v>11.885245901639344</v>
      </c>
      <c r="N138" s="55">
        <f t="shared" si="286"/>
        <v>7.7436912419594259</v>
      </c>
      <c r="O138" s="55">
        <f t="shared" ref="O138:Q138" si="287">O154/O160*100</f>
        <v>6.9084628670120898</v>
      </c>
      <c r="P138" s="55">
        <f t="shared" si="287"/>
        <v>13.675213675213676</v>
      </c>
      <c r="Q138" s="55">
        <f t="shared" si="287"/>
        <v>7.2778166550034999</v>
      </c>
      <c r="R138" s="55">
        <f t="shared" ref="R138:T138" si="288">R154/R160*100</f>
        <v>6.0619769282967653</v>
      </c>
      <c r="S138" s="55">
        <f t="shared" si="288"/>
        <v>13.090909090909092</v>
      </c>
      <c r="T138" s="55">
        <f t="shared" si="288"/>
        <v>6.4735945485519588</v>
      </c>
      <c r="U138" s="55">
        <f t="shared" ref="U138:W138" si="289">U154/U160*100</f>
        <v>4.5965058236272878</v>
      </c>
      <c r="V138" s="55">
        <f t="shared" si="289"/>
        <v>8.3892617449664435</v>
      </c>
      <c r="W138" s="55">
        <f t="shared" si="289"/>
        <v>4.8178613396004701</v>
      </c>
      <c r="X138" s="55">
        <f t="shared" ref="X138:Z138" si="290">X154/X160*100</f>
        <v>3.7652905198776758</v>
      </c>
      <c r="Y138" s="55">
        <f t="shared" si="290"/>
        <v>7.8175895765472303</v>
      </c>
      <c r="Z138" s="55">
        <f t="shared" si="290"/>
        <v>3.9898898718180176</v>
      </c>
    </row>
    <row r="139" spans="2:26" x14ac:dyDescent="0.25">
      <c r="B139" s="2" t="s">
        <v>97</v>
      </c>
      <c r="C139" s="55">
        <f t="shared" ref="C139:K139" si="291">C155/C160*100</f>
        <v>10.439838220424672</v>
      </c>
      <c r="D139" s="55">
        <f t="shared" si="291"/>
        <v>9.3220338983050848</v>
      </c>
      <c r="E139" s="55">
        <f t="shared" si="291"/>
        <v>10.376908396946565</v>
      </c>
      <c r="F139" s="55">
        <f t="shared" si="291"/>
        <v>10.421962379257753</v>
      </c>
      <c r="G139" s="55">
        <f t="shared" si="291"/>
        <v>8.1081081081081088</v>
      </c>
      <c r="H139" s="55">
        <f t="shared" si="291"/>
        <v>10.298363811357074</v>
      </c>
      <c r="I139" s="55">
        <f t="shared" si="291"/>
        <v>9.7891174173392344</v>
      </c>
      <c r="J139" s="55">
        <f t="shared" si="291"/>
        <v>6.5891472868217065</v>
      </c>
      <c r="K139" s="55">
        <f t="shared" si="291"/>
        <v>9.5877043181263719</v>
      </c>
      <c r="L139" s="55">
        <f t="shared" ref="L139:N139" si="292">L155/L160*100</f>
        <v>10.242232754081096</v>
      </c>
      <c r="M139" s="55">
        <f t="shared" si="292"/>
        <v>6.557377049180328</v>
      </c>
      <c r="N139" s="55">
        <f t="shared" si="292"/>
        <v>10.019792182088075</v>
      </c>
      <c r="O139" s="55">
        <f t="shared" ref="O139:Q139" si="293">O155/O160*100</f>
        <v>8.6355785837651116</v>
      </c>
      <c r="P139" s="55">
        <f t="shared" si="293"/>
        <v>5.1282051282051277</v>
      </c>
      <c r="Q139" s="55">
        <f t="shared" si="293"/>
        <v>8.4441334266386754</v>
      </c>
      <c r="R139" s="55">
        <f t="shared" ref="R139:T139" si="294">R155/R160*100</f>
        <v>8.5727211038226638</v>
      </c>
      <c r="S139" s="55">
        <f t="shared" si="294"/>
        <v>3.6363636363636362</v>
      </c>
      <c r="T139" s="55">
        <f t="shared" si="294"/>
        <v>8.2836456558773417</v>
      </c>
      <c r="U139" s="55">
        <f t="shared" ref="U139:W139" si="295">U155/U160*100</f>
        <v>9.484193011647255</v>
      </c>
      <c r="V139" s="55">
        <f t="shared" si="295"/>
        <v>5.7046979865771812</v>
      </c>
      <c r="W139" s="55">
        <f t="shared" si="295"/>
        <v>9.2636114375244816</v>
      </c>
      <c r="X139" s="55">
        <f t="shared" ref="X139:Z139" si="296">X155/X160*100</f>
        <v>8.3524464831804277</v>
      </c>
      <c r="Y139" s="55">
        <f t="shared" si="296"/>
        <v>10.749185667752444</v>
      </c>
      <c r="Z139" s="55">
        <f t="shared" si="296"/>
        <v>8.4852861527351511</v>
      </c>
    </row>
    <row r="140" spans="2:26" x14ac:dyDescent="0.25">
      <c r="B140" s="2" t="s">
        <v>98</v>
      </c>
      <c r="C140" s="55">
        <f t="shared" ref="C140:K140" si="297">C156/C160*100</f>
        <v>9.959555106167846</v>
      </c>
      <c r="D140" s="55">
        <f t="shared" si="297"/>
        <v>0.84745762711864403</v>
      </c>
      <c r="E140" s="55">
        <f t="shared" si="297"/>
        <v>9.4465648854961835</v>
      </c>
      <c r="F140" s="55">
        <f t="shared" si="297"/>
        <v>9.3797661413319773</v>
      </c>
      <c r="G140" s="55">
        <f t="shared" si="297"/>
        <v>1.3513513513513513</v>
      </c>
      <c r="H140" s="55">
        <f t="shared" si="297"/>
        <v>8.9509143407122238</v>
      </c>
      <c r="I140" s="55">
        <f t="shared" si="297"/>
        <v>9.3465243426191105</v>
      </c>
      <c r="J140" s="55">
        <f t="shared" si="297"/>
        <v>0.77519379844961245</v>
      </c>
      <c r="K140" s="55">
        <f t="shared" si="297"/>
        <v>8.8070261039277877</v>
      </c>
      <c r="L140" s="55">
        <f t="shared" ref="L140:N140" si="298">L156/L160*100</f>
        <v>9.5313322801474456</v>
      </c>
      <c r="M140" s="55">
        <f t="shared" si="298"/>
        <v>1.639344262295082</v>
      </c>
      <c r="N140" s="55">
        <f t="shared" si="298"/>
        <v>9.0549233052944089</v>
      </c>
      <c r="O140" s="55">
        <f t="shared" ref="O140:Q140" si="299">O156/O160*100</f>
        <v>8.9316555637799162</v>
      </c>
      <c r="P140" s="55">
        <f t="shared" si="299"/>
        <v>0.85470085470085477</v>
      </c>
      <c r="Q140" s="55">
        <f t="shared" si="299"/>
        <v>8.490786097504083</v>
      </c>
      <c r="R140" s="55">
        <f t="shared" ref="R140:T140" si="300">R156/R160*100</f>
        <v>10.269169871069895</v>
      </c>
      <c r="S140" s="55">
        <f t="shared" si="300"/>
        <v>1.4545454545454546</v>
      </c>
      <c r="T140" s="55">
        <f t="shared" si="300"/>
        <v>9.7529812606473598</v>
      </c>
      <c r="U140" s="55">
        <f t="shared" ref="U140:W140" si="301">U156/U160*100</f>
        <v>11.668053244592345</v>
      </c>
      <c r="V140" s="55">
        <f t="shared" si="301"/>
        <v>1.006711409395973</v>
      </c>
      <c r="W140" s="55">
        <f t="shared" si="301"/>
        <v>11.045828437132785</v>
      </c>
      <c r="X140" s="55">
        <f t="shared" ref="X140:Z140" si="302">X156/X160*100</f>
        <v>11.104740061162079</v>
      </c>
      <c r="Y140" s="55">
        <f t="shared" si="302"/>
        <v>2.2801302931596092</v>
      </c>
      <c r="Z140" s="55">
        <f t="shared" si="302"/>
        <v>10.615634591081422</v>
      </c>
    </row>
    <row r="141" spans="2:26" x14ac:dyDescent="0.25">
      <c r="B141" s="2" t="s">
        <v>99</v>
      </c>
      <c r="C141" s="55">
        <f t="shared" ref="C141:K141" si="303">C157/C160*100</f>
        <v>7.406471183013144</v>
      </c>
      <c r="D141" s="55">
        <f t="shared" si="303"/>
        <v>14.83050847457627</v>
      </c>
      <c r="E141" s="55">
        <f t="shared" si="303"/>
        <v>7.8244274809160315</v>
      </c>
      <c r="F141" s="55">
        <f t="shared" si="303"/>
        <v>7.3207930859176411</v>
      </c>
      <c r="G141" s="55">
        <f t="shared" si="303"/>
        <v>11.261261261261261</v>
      </c>
      <c r="H141" s="55">
        <f t="shared" si="303"/>
        <v>7.5312800769971124</v>
      </c>
      <c r="I141" s="55">
        <f t="shared" si="303"/>
        <v>6.3785472533194483</v>
      </c>
      <c r="J141" s="55">
        <f t="shared" si="303"/>
        <v>15.11627906976744</v>
      </c>
      <c r="K141" s="55">
        <f t="shared" si="303"/>
        <v>6.9285191510124422</v>
      </c>
      <c r="L141" s="55">
        <f t="shared" ref="L141:N141" si="304">L157/L160*100</f>
        <v>5.2132701421800949</v>
      </c>
      <c r="M141" s="55">
        <f t="shared" si="304"/>
        <v>11.885245901639344</v>
      </c>
      <c r="N141" s="55">
        <f t="shared" si="304"/>
        <v>5.6160316674913409</v>
      </c>
      <c r="O141" s="55">
        <f t="shared" ref="O141:Q141" si="305">O157/O160*100</f>
        <v>5.0333086602516657</v>
      </c>
      <c r="P141" s="55">
        <f t="shared" si="305"/>
        <v>8.5470085470085468</v>
      </c>
      <c r="Q141" s="55">
        <f t="shared" si="305"/>
        <v>5.2250991369255892</v>
      </c>
      <c r="R141" s="55">
        <f t="shared" ref="R141:T141" si="306">R157/R160*100</f>
        <v>5.3607781045012439</v>
      </c>
      <c r="S141" s="55">
        <f t="shared" si="306"/>
        <v>10.181818181818182</v>
      </c>
      <c r="T141" s="55">
        <f t="shared" si="306"/>
        <v>5.6431005110732544</v>
      </c>
      <c r="U141" s="55">
        <f t="shared" ref="U141:W141" si="307">U157/U160*100</f>
        <v>3.9101497504159735</v>
      </c>
      <c r="V141" s="55">
        <f t="shared" si="307"/>
        <v>11.74496644295302</v>
      </c>
      <c r="W141" s="55">
        <f t="shared" si="307"/>
        <v>4.3674108891500198</v>
      </c>
      <c r="X141" s="55">
        <f t="shared" ref="X141:Z141" si="308">X157/X160*100</f>
        <v>4.1475535168195723</v>
      </c>
      <c r="Y141" s="55">
        <f t="shared" si="308"/>
        <v>5.2117263843648214</v>
      </c>
      <c r="Z141" s="55">
        <f t="shared" si="308"/>
        <v>4.2065354757176383</v>
      </c>
    </row>
    <row r="142" spans="2:26" x14ac:dyDescent="0.25">
      <c r="B142" s="2" t="s">
        <v>100</v>
      </c>
      <c r="C142" s="55">
        <f t="shared" ref="C142:K142" si="309">C158/C160*100</f>
        <v>3.2103134479271986</v>
      </c>
      <c r="D142" s="55">
        <f t="shared" si="309"/>
        <v>3.8135593220338984</v>
      </c>
      <c r="E142" s="55">
        <f t="shared" si="309"/>
        <v>3.2442748091603053</v>
      </c>
      <c r="F142" s="55">
        <f t="shared" si="309"/>
        <v>2.5927808845958311</v>
      </c>
      <c r="G142" s="55">
        <f t="shared" si="309"/>
        <v>4.0540540540540544</v>
      </c>
      <c r="H142" s="55">
        <f t="shared" si="309"/>
        <v>2.6708373435996151</v>
      </c>
      <c r="I142" s="55">
        <f t="shared" si="309"/>
        <v>2.1869304868523822</v>
      </c>
      <c r="J142" s="55">
        <f t="shared" si="309"/>
        <v>4.2635658914728678</v>
      </c>
      <c r="K142" s="55">
        <f t="shared" si="309"/>
        <v>2.3176384484020494</v>
      </c>
      <c r="L142" s="55">
        <f t="shared" ref="L142:N142" si="310">L158/L160*100</f>
        <v>2.2906793048973144</v>
      </c>
      <c r="M142" s="55">
        <f t="shared" si="310"/>
        <v>4.5081967213114753</v>
      </c>
      <c r="N142" s="55">
        <f t="shared" si="310"/>
        <v>2.4245423057892133</v>
      </c>
      <c r="O142" s="55">
        <f t="shared" ref="O142:Q142" si="311">O158/O160*100</f>
        <v>2.0478657784357268</v>
      </c>
      <c r="P142" s="55">
        <f t="shared" si="311"/>
        <v>3.4188034188034191</v>
      </c>
      <c r="Q142" s="55">
        <f t="shared" si="311"/>
        <v>2.1226965243760207</v>
      </c>
      <c r="R142" s="55">
        <f t="shared" ref="R142:T142" si="312">R158/R160*100</f>
        <v>1.7190680841438588</v>
      </c>
      <c r="S142" s="55">
        <f t="shared" si="312"/>
        <v>3.2727272727272729</v>
      </c>
      <c r="T142" s="55">
        <f t="shared" si="312"/>
        <v>1.8100511073253833</v>
      </c>
      <c r="U142" s="55">
        <f t="shared" ref="U142:W142" si="313">U158/U160*100</f>
        <v>1.684692179700499</v>
      </c>
      <c r="V142" s="55">
        <f t="shared" si="313"/>
        <v>1.6778523489932886</v>
      </c>
      <c r="W142" s="55">
        <f t="shared" si="313"/>
        <v>1.6842929886408147</v>
      </c>
      <c r="X142" s="55">
        <f t="shared" ref="X142:Z142" si="314">X158/X160*100</f>
        <v>1.4908256880733946</v>
      </c>
      <c r="Y142" s="55">
        <f t="shared" si="314"/>
        <v>2.9315960912052117</v>
      </c>
      <c r="Z142" s="55">
        <f t="shared" si="314"/>
        <v>1.5706806282722512</v>
      </c>
    </row>
    <row r="143" spans="2:26" x14ac:dyDescent="0.25">
      <c r="B143" s="2" t="s">
        <v>101</v>
      </c>
      <c r="C143" s="55">
        <f t="shared" ref="C143:K143" si="315">C159/C160*100</f>
        <v>5.9656218402426697</v>
      </c>
      <c r="D143" s="55">
        <f t="shared" si="315"/>
        <v>5.9322033898305087</v>
      </c>
      <c r="E143" s="55">
        <f t="shared" si="315"/>
        <v>5.9637404580152671</v>
      </c>
      <c r="F143" s="55">
        <f t="shared" si="315"/>
        <v>6.4056939501779357</v>
      </c>
      <c r="G143" s="55">
        <f t="shared" si="315"/>
        <v>8.5585585585585591</v>
      </c>
      <c r="H143" s="55">
        <f t="shared" si="315"/>
        <v>6.5206929740134738</v>
      </c>
      <c r="I143" s="55">
        <f t="shared" si="315"/>
        <v>7.6802915907315805</v>
      </c>
      <c r="J143" s="55">
        <f t="shared" si="315"/>
        <v>8.1395348837209305</v>
      </c>
      <c r="K143" s="55">
        <f t="shared" si="315"/>
        <v>7.7091973652110273</v>
      </c>
      <c r="L143" s="55">
        <f t="shared" ref="L143:N143" si="316">L159/L160*100</f>
        <v>7.5829383886255926</v>
      </c>
      <c r="M143" s="55">
        <f t="shared" si="316"/>
        <v>11.475409836065573</v>
      </c>
      <c r="N143" s="55">
        <f t="shared" si="316"/>
        <v>7.8179119247897084</v>
      </c>
      <c r="O143" s="55">
        <f t="shared" ref="O143:Q143" si="317">O159/O160*100</f>
        <v>8.2161361954108081</v>
      </c>
      <c r="P143" s="55">
        <f t="shared" si="317"/>
        <v>8.5470085470085468</v>
      </c>
      <c r="Q143" s="55">
        <f t="shared" si="317"/>
        <v>8.2341964077443421</v>
      </c>
      <c r="R143" s="55">
        <f t="shared" ref="R143:T143" si="318">R159/R160*100</f>
        <v>10.291789187966524</v>
      </c>
      <c r="S143" s="55">
        <f t="shared" si="318"/>
        <v>10.545454545454545</v>
      </c>
      <c r="T143" s="55">
        <f t="shared" si="318"/>
        <v>10.306643952299829</v>
      </c>
      <c r="U143" s="55">
        <f t="shared" ref="U143:W143" si="319">U159/U160*100</f>
        <v>9.8169717138103163</v>
      </c>
      <c r="V143" s="55">
        <f t="shared" si="319"/>
        <v>8.724832214765101</v>
      </c>
      <c r="W143" s="55">
        <f t="shared" si="319"/>
        <v>9.7532314923619268</v>
      </c>
      <c r="X143" s="55">
        <f t="shared" ref="X143:Z143" si="320">X159/X160*100</f>
        <v>11.410550458715596</v>
      </c>
      <c r="Y143" s="55">
        <f t="shared" si="320"/>
        <v>9.120521172638437</v>
      </c>
      <c r="Z143" s="55">
        <f t="shared" si="320"/>
        <v>11.283625203105254</v>
      </c>
    </row>
    <row r="144" spans="2:26" x14ac:dyDescent="0.25">
      <c r="B144" s="17" t="s">
        <v>102</v>
      </c>
      <c r="C144" s="130">
        <f t="shared" ref="C144:K144" si="321">SUM(C135:C143)</f>
        <v>100</v>
      </c>
      <c r="D144" s="130">
        <f t="shared" si="321"/>
        <v>99.999999999999986</v>
      </c>
      <c r="E144" s="130">
        <f t="shared" si="321"/>
        <v>100</v>
      </c>
      <c r="F144" s="130">
        <f t="shared" si="321"/>
        <v>100</v>
      </c>
      <c r="G144" s="130">
        <f t="shared" si="321"/>
        <v>100.00000000000001</v>
      </c>
      <c r="H144" s="130">
        <f t="shared" si="321"/>
        <v>99.999999999999986</v>
      </c>
      <c r="I144" s="130">
        <f t="shared" si="321"/>
        <v>99.999999999999986</v>
      </c>
      <c r="J144" s="130">
        <f t="shared" si="321"/>
        <v>100</v>
      </c>
      <c r="K144" s="130">
        <f t="shared" si="321"/>
        <v>99.999999999999986</v>
      </c>
      <c r="L144" s="130">
        <f t="shared" ref="L144:N144" si="322">SUM(L135:L143)</f>
        <v>100.00000000000001</v>
      </c>
      <c r="M144" s="130">
        <f t="shared" si="322"/>
        <v>100</v>
      </c>
      <c r="N144" s="130">
        <f t="shared" si="322"/>
        <v>100.00000000000001</v>
      </c>
      <c r="O144" s="130">
        <f t="shared" ref="O144:Q144" si="323">SUM(O135:O143)</f>
        <v>99.999999999999986</v>
      </c>
      <c r="P144" s="130">
        <f t="shared" si="323"/>
        <v>99.999999999999986</v>
      </c>
      <c r="Q144" s="130">
        <f t="shared" si="323"/>
        <v>100</v>
      </c>
      <c r="R144" s="130">
        <f t="shared" ref="R144:T144" si="324">SUM(R135:R143)</f>
        <v>100.00000000000001</v>
      </c>
      <c r="S144" s="130">
        <f t="shared" si="324"/>
        <v>100</v>
      </c>
      <c r="T144" s="130">
        <f t="shared" si="324"/>
        <v>100</v>
      </c>
      <c r="U144" s="130">
        <f t="shared" ref="U144:W144" si="325">SUM(U135:U143)</f>
        <v>100</v>
      </c>
      <c r="V144" s="130">
        <f t="shared" si="325"/>
        <v>100</v>
      </c>
      <c r="W144" s="130">
        <f t="shared" si="325"/>
        <v>100</v>
      </c>
      <c r="X144" s="130">
        <f t="shared" ref="X144:Z144" si="326">SUM(X135:X143)</f>
        <v>99.999999999999986</v>
      </c>
      <c r="Y144" s="130">
        <f t="shared" si="326"/>
        <v>100</v>
      </c>
      <c r="Z144" s="130">
        <f t="shared" si="326"/>
        <v>100</v>
      </c>
    </row>
    <row r="145" spans="2:26" x14ac:dyDescent="0.25">
      <c r="B145" s="2" t="s">
        <v>103</v>
      </c>
      <c r="C145" s="56">
        <f t="shared" ref="C145:K145" si="327">C160</f>
        <v>3956</v>
      </c>
      <c r="D145" s="55">
        <f t="shared" si="327"/>
        <v>236</v>
      </c>
      <c r="E145" s="56">
        <f t="shared" si="327"/>
        <v>4192</v>
      </c>
      <c r="F145" s="56">
        <f t="shared" si="327"/>
        <v>3934</v>
      </c>
      <c r="G145" s="55">
        <f t="shared" si="327"/>
        <v>222</v>
      </c>
      <c r="H145" s="56">
        <f t="shared" si="327"/>
        <v>4156</v>
      </c>
      <c r="I145" s="56">
        <f t="shared" si="327"/>
        <v>3841</v>
      </c>
      <c r="J145" s="55">
        <f t="shared" si="327"/>
        <v>258</v>
      </c>
      <c r="K145" s="56">
        <f t="shared" si="327"/>
        <v>4099</v>
      </c>
      <c r="L145" s="56">
        <f t="shared" ref="L145:N145" si="328">L160</f>
        <v>3798</v>
      </c>
      <c r="M145" s="55">
        <f t="shared" si="328"/>
        <v>244</v>
      </c>
      <c r="N145" s="56">
        <f t="shared" si="328"/>
        <v>4042</v>
      </c>
      <c r="O145" s="56">
        <f t="shared" ref="O145:Q145" si="329">O160</f>
        <v>4053</v>
      </c>
      <c r="P145" s="55">
        <f t="shared" si="329"/>
        <v>234</v>
      </c>
      <c r="Q145" s="56">
        <f t="shared" si="329"/>
        <v>4287</v>
      </c>
      <c r="R145" s="56">
        <f t="shared" ref="R145:T145" si="330">R160</f>
        <v>4421</v>
      </c>
      <c r="S145" s="55">
        <f t="shared" si="330"/>
        <v>275</v>
      </c>
      <c r="T145" s="56">
        <f t="shared" si="330"/>
        <v>4696</v>
      </c>
      <c r="U145" s="56">
        <f t="shared" ref="U145:W145" si="331">U160</f>
        <v>4808</v>
      </c>
      <c r="V145" s="55">
        <f t="shared" si="331"/>
        <v>298</v>
      </c>
      <c r="W145" s="56">
        <f t="shared" si="331"/>
        <v>5106</v>
      </c>
      <c r="X145" s="56">
        <f t="shared" ref="X145:Z145" si="332">X160</f>
        <v>5232</v>
      </c>
      <c r="Y145" s="55">
        <f t="shared" si="332"/>
        <v>307</v>
      </c>
      <c r="Z145" s="56">
        <f t="shared" si="332"/>
        <v>5539</v>
      </c>
    </row>
    <row r="146" spans="2:26" x14ac:dyDescent="0.25">
      <c r="B146" s="41"/>
      <c r="C146" s="3"/>
      <c r="D146" s="3"/>
      <c r="E146" s="3"/>
      <c r="F146" s="3"/>
      <c r="G146" s="3"/>
      <c r="H146" s="3"/>
      <c r="I146" s="3"/>
      <c r="J146" s="3"/>
      <c r="K146" s="3"/>
      <c r="L146" s="3"/>
      <c r="M146" s="3"/>
      <c r="N146" s="3"/>
      <c r="X146" s="161"/>
      <c r="Y146" s="161"/>
      <c r="Z146" s="161"/>
    </row>
    <row r="147" spans="2:26" x14ac:dyDescent="0.25">
      <c r="B147" s="17" t="s">
        <v>317</v>
      </c>
      <c r="C147" s="3"/>
      <c r="D147" s="3"/>
      <c r="E147" s="3"/>
      <c r="F147" s="3"/>
      <c r="G147" s="3"/>
      <c r="H147" s="3"/>
      <c r="I147" s="3"/>
      <c r="J147" s="3"/>
      <c r="K147" s="3"/>
      <c r="L147" s="3"/>
      <c r="M147" s="3"/>
      <c r="N147" s="3"/>
      <c r="X147" s="161"/>
      <c r="Y147" s="161"/>
      <c r="Z147" s="161"/>
    </row>
    <row r="148" spans="2:26" x14ac:dyDescent="0.25">
      <c r="B148" s="14"/>
      <c r="C148" s="3"/>
      <c r="D148" s="3"/>
      <c r="E148" s="3"/>
      <c r="F148" s="3"/>
      <c r="G148" s="3"/>
      <c r="H148" s="3"/>
      <c r="I148" s="3"/>
      <c r="J148" s="3"/>
      <c r="K148" s="3"/>
      <c r="L148" s="3"/>
      <c r="M148" s="3"/>
      <c r="N148" s="3"/>
      <c r="X148" s="161"/>
      <c r="Y148" s="161"/>
      <c r="Z148" s="161"/>
    </row>
    <row r="149" spans="2:26" x14ac:dyDescent="0.25">
      <c r="B149" s="14"/>
      <c r="C149" s="3"/>
      <c r="D149" s="3"/>
      <c r="E149" s="3"/>
      <c r="F149" s="3"/>
      <c r="G149" s="3"/>
      <c r="H149" s="3"/>
      <c r="I149" s="3"/>
      <c r="J149" s="3"/>
      <c r="K149" s="3"/>
      <c r="L149" s="3"/>
      <c r="M149" s="3"/>
      <c r="N149" s="3"/>
      <c r="X149" s="161"/>
      <c r="Y149" s="161"/>
      <c r="Z149" s="161"/>
    </row>
    <row r="150" spans="2:26" x14ac:dyDescent="0.25">
      <c r="B150" s="54" t="s">
        <v>106</v>
      </c>
      <c r="C150" s="3"/>
      <c r="D150" s="3"/>
      <c r="E150" s="3"/>
      <c r="F150" s="3"/>
      <c r="G150" s="3"/>
      <c r="H150" s="3"/>
      <c r="I150" s="3"/>
      <c r="J150" s="3"/>
      <c r="K150" s="3"/>
      <c r="L150" s="3"/>
      <c r="M150" s="3"/>
      <c r="N150" s="3"/>
      <c r="X150" s="161"/>
      <c r="Y150" s="161"/>
      <c r="Z150" s="161"/>
    </row>
    <row r="151" spans="2:26" x14ac:dyDescent="0.25">
      <c r="B151" s="2" t="s">
        <v>93</v>
      </c>
      <c r="C151" s="58">
        <v>525</v>
      </c>
      <c r="D151" s="58">
        <v>25</v>
      </c>
      <c r="E151" s="58">
        <f t="shared" ref="E151:E159" si="333">C151+D151</f>
        <v>550</v>
      </c>
      <c r="F151" s="58">
        <v>537</v>
      </c>
      <c r="G151" s="58">
        <v>28</v>
      </c>
      <c r="H151" s="58">
        <f t="shared" ref="H151:H159" si="334">F151+G151</f>
        <v>565</v>
      </c>
      <c r="I151" s="58">
        <v>552</v>
      </c>
      <c r="J151" s="58">
        <v>31</v>
      </c>
      <c r="K151" s="58">
        <f t="shared" ref="K151:K159" si="335">I151+J151</f>
        <v>583</v>
      </c>
      <c r="L151" s="58">
        <v>599</v>
      </c>
      <c r="M151" s="58">
        <v>33</v>
      </c>
      <c r="N151" s="58">
        <f t="shared" ref="N151:N159" si="336">L151+M151</f>
        <v>632</v>
      </c>
      <c r="O151" s="13">
        <v>614</v>
      </c>
      <c r="P151" s="13">
        <v>37</v>
      </c>
      <c r="Q151" s="58">
        <f t="shared" ref="Q151:Q159" si="337">O151+P151</f>
        <v>651</v>
      </c>
      <c r="R151" s="13">
        <v>635</v>
      </c>
      <c r="S151" s="13">
        <v>41</v>
      </c>
      <c r="T151" s="58">
        <f>R151+S151</f>
        <v>676</v>
      </c>
      <c r="U151" s="13">
        <v>690</v>
      </c>
      <c r="V151" s="13">
        <v>44</v>
      </c>
      <c r="W151" s="58">
        <f>U151+V151</f>
        <v>734</v>
      </c>
      <c r="X151" s="13">
        <v>757</v>
      </c>
      <c r="Y151" s="13">
        <v>54</v>
      </c>
      <c r="Z151" s="58">
        <f>X151+Y151</f>
        <v>811</v>
      </c>
    </row>
    <row r="152" spans="2:26" x14ac:dyDescent="0.25">
      <c r="B152" s="2" t="s">
        <v>94</v>
      </c>
      <c r="C152" s="58">
        <v>615</v>
      </c>
      <c r="D152" s="58">
        <v>35</v>
      </c>
      <c r="E152" s="58">
        <f t="shared" si="333"/>
        <v>650</v>
      </c>
      <c r="F152" s="58">
        <v>605</v>
      </c>
      <c r="G152" s="58">
        <v>33</v>
      </c>
      <c r="H152" s="58">
        <f t="shared" si="334"/>
        <v>638</v>
      </c>
      <c r="I152" s="58">
        <v>618</v>
      </c>
      <c r="J152" s="58">
        <v>44</v>
      </c>
      <c r="K152" s="58">
        <f t="shared" si="335"/>
        <v>662</v>
      </c>
      <c r="L152" s="58">
        <v>589</v>
      </c>
      <c r="M152" s="58">
        <v>38</v>
      </c>
      <c r="N152" s="58">
        <f t="shared" si="336"/>
        <v>627</v>
      </c>
      <c r="O152" s="13">
        <v>669</v>
      </c>
      <c r="P152" s="13">
        <v>40</v>
      </c>
      <c r="Q152" s="58">
        <f t="shared" si="337"/>
        <v>709</v>
      </c>
      <c r="R152" s="13">
        <v>740</v>
      </c>
      <c r="S152" s="13">
        <v>39</v>
      </c>
      <c r="T152" s="58">
        <f t="shared" ref="T152:T159" si="338">R152+S152</f>
        <v>779</v>
      </c>
      <c r="U152" s="13">
        <v>826</v>
      </c>
      <c r="V152" s="13">
        <v>54</v>
      </c>
      <c r="W152" s="58">
        <f t="shared" ref="W152:W159" si="339">U152+V152</f>
        <v>880</v>
      </c>
      <c r="X152" s="13">
        <v>859</v>
      </c>
      <c r="Y152" s="13">
        <v>46</v>
      </c>
      <c r="Z152" s="58">
        <f t="shared" ref="Z152:Z159" si="340">X152+Y152</f>
        <v>905</v>
      </c>
    </row>
    <row r="153" spans="2:26" x14ac:dyDescent="0.25">
      <c r="B153" s="2" t="s">
        <v>95</v>
      </c>
      <c r="C153" s="58">
        <v>1039</v>
      </c>
      <c r="D153" s="58">
        <v>61</v>
      </c>
      <c r="E153" s="58">
        <f t="shared" si="333"/>
        <v>1100</v>
      </c>
      <c r="F153" s="58">
        <v>1052</v>
      </c>
      <c r="G153" s="58">
        <v>57</v>
      </c>
      <c r="H153" s="58">
        <f t="shared" si="334"/>
        <v>1109</v>
      </c>
      <c r="I153" s="58">
        <v>1023</v>
      </c>
      <c r="J153" s="58">
        <v>57</v>
      </c>
      <c r="K153" s="58">
        <f t="shared" si="335"/>
        <v>1080</v>
      </c>
      <c r="L153" s="58">
        <v>1002</v>
      </c>
      <c r="M153" s="58">
        <v>56</v>
      </c>
      <c r="N153" s="58">
        <f t="shared" si="336"/>
        <v>1058</v>
      </c>
      <c r="O153" s="13">
        <v>1158</v>
      </c>
      <c r="P153" s="13">
        <v>63</v>
      </c>
      <c r="Q153" s="58">
        <f t="shared" si="337"/>
        <v>1221</v>
      </c>
      <c r="R153" s="13">
        <v>1177</v>
      </c>
      <c r="S153" s="13">
        <v>79</v>
      </c>
      <c r="T153" s="58">
        <f t="shared" si="338"/>
        <v>1256</v>
      </c>
      <c r="U153" s="13">
        <v>1313</v>
      </c>
      <c r="V153" s="13">
        <v>89</v>
      </c>
      <c r="W153" s="58">
        <f t="shared" si="339"/>
        <v>1402</v>
      </c>
      <c r="X153" s="13">
        <v>1509</v>
      </c>
      <c r="Y153" s="13">
        <v>90</v>
      </c>
      <c r="Z153" s="58">
        <f t="shared" si="340"/>
        <v>1599</v>
      </c>
    </row>
    <row r="154" spans="2:26" x14ac:dyDescent="0.25">
      <c r="B154" s="2" t="s">
        <v>96</v>
      </c>
      <c r="C154" s="58">
        <v>314</v>
      </c>
      <c r="D154" s="58">
        <v>33</v>
      </c>
      <c r="E154" s="58">
        <f t="shared" si="333"/>
        <v>347</v>
      </c>
      <c r="F154" s="58">
        <v>319</v>
      </c>
      <c r="G154" s="58">
        <v>30</v>
      </c>
      <c r="H154" s="58">
        <f t="shared" si="334"/>
        <v>349</v>
      </c>
      <c r="I154" s="58">
        <v>289</v>
      </c>
      <c r="J154" s="58">
        <v>36</v>
      </c>
      <c r="K154" s="58">
        <f t="shared" si="335"/>
        <v>325</v>
      </c>
      <c r="L154" s="58">
        <v>284</v>
      </c>
      <c r="M154" s="58">
        <v>29</v>
      </c>
      <c r="N154" s="58">
        <f t="shared" si="336"/>
        <v>313</v>
      </c>
      <c r="O154" s="13">
        <v>280</v>
      </c>
      <c r="P154" s="13">
        <v>32</v>
      </c>
      <c r="Q154" s="58">
        <f t="shared" si="337"/>
        <v>312</v>
      </c>
      <c r="R154" s="13">
        <v>268</v>
      </c>
      <c r="S154" s="13">
        <v>36</v>
      </c>
      <c r="T154" s="58">
        <f t="shared" si="338"/>
        <v>304</v>
      </c>
      <c r="U154" s="13">
        <v>221</v>
      </c>
      <c r="V154" s="13">
        <v>25</v>
      </c>
      <c r="W154" s="58">
        <f t="shared" si="339"/>
        <v>246</v>
      </c>
      <c r="X154" s="13">
        <v>197</v>
      </c>
      <c r="Y154" s="13">
        <v>24</v>
      </c>
      <c r="Z154" s="58">
        <f t="shared" si="340"/>
        <v>221</v>
      </c>
    </row>
    <row r="155" spans="2:26" x14ac:dyDescent="0.25">
      <c r="B155" s="2" t="s">
        <v>97</v>
      </c>
      <c r="C155" s="58">
        <v>413</v>
      </c>
      <c r="D155" s="58">
        <v>22</v>
      </c>
      <c r="E155" s="58">
        <f t="shared" si="333"/>
        <v>435</v>
      </c>
      <c r="F155" s="58">
        <v>410</v>
      </c>
      <c r="G155" s="58">
        <v>18</v>
      </c>
      <c r="H155" s="58">
        <f t="shared" si="334"/>
        <v>428</v>
      </c>
      <c r="I155" s="58">
        <v>376</v>
      </c>
      <c r="J155" s="58">
        <v>17</v>
      </c>
      <c r="K155" s="58">
        <f t="shared" si="335"/>
        <v>393</v>
      </c>
      <c r="L155" s="58">
        <v>389</v>
      </c>
      <c r="M155" s="58">
        <v>16</v>
      </c>
      <c r="N155" s="58">
        <f t="shared" si="336"/>
        <v>405</v>
      </c>
      <c r="O155" s="13">
        <v>350</v>
      </c>
      <c r="P155" s="13">
        <v>12</v>
      </c>
      <c r="Q155" s="58">
        <f t="shared" si="337"/>
        <v>362</v>
      </c>
      <c r="R155" s="13">
        <v>379</v>
      </c>
      <c r="S155" s="13">
        <v>10</v>
      </c>
      <c r="T155" s="58">
        <f t="shared" si="338"/>
        <v>389</v>
      </c>
      <c r="U155" s="13">
        <v>456</v>
      </c>
      <c r="V155" s="13">
        <v>17</v>
      </c>
      <c r="W155" s="58">
        <f t="shared" si="339"/>
        <v>473</v>
      </c>
      <c r="X155" s="13">
        <v>437</v>
      </c>
      <c r="Y155" s="13">
        <v>33</v>
      </c>
      <c r="Z155" s="58">
        <f t="shared" si="340"/>
        <v>470</v>
      </c>
    </row>
    <row r="156" spans="2:26" x14ac:dyDescent="0.25">
      <c r="B156" s="2" t="s">
        <v>98</v>
      </c>
      <c r="C156" s="58">
        <v>394</v>
      </c>
      <c r="D156" s="58">
        <v>2</v>
      </c>
      <c r="E156" s="58">
        <f t="shared" si="333"/>
        <v>396</v>
      </c>
      <c r="F156" s="58">
        <v>369</v>
      </c>
      <c r="G156" s="58">
        <v>3</v>
      </c>
      <c r="H156" s="58">
        <f t="shared" si="334"/>
        <v>372</v>
      </c>
      <c r="I156" s="58">
        <v>359</v>
      </c>
      <c r="J156" s="58">
        <v>2</v>
      </c>
      <c r="K156" s="58">
        <f t="shared" si="335"/>
        <v>361</v>
      </c>
      <c r="L156" s="58">
        <v>362</v>
      </c>
      <c r="M156" s="58">
        <v>4</v>
      </c>
      <c r="N156" s="58">
        <f t="shared" si="336"/>
        <v>366</v>
      </c>
      <c r="O156" s="13">
        <v>362</v>
      </c>
      <c r="P156" s="13">
        <v>2</v>
      </c>
      <c r="Q156" s="58">
        <f t="shared" si="337"/>
        <v>364</v>
      </c>
      <c r="R156" s="13">
        <v>454</v>
      </c>
      <c r="S156" s="13">
        <v>4</v>
      </c>
      <c r="T156" s="58">
        <f t="shared" si="338"/>
        <v>458</v>
      </c>
      <c r="U156" s="13">
        <v>561</v>
      </c>
      <c r="V156" s="13">
        <v>3</v>
      </c>
      <c r="W156" s="58">
        <f t="shared" si="339"/>
        <v>564</v>
      </c>
      <c r="X156" s="13">
        <v>581</v>
      </c>
      <c r="Y156" s="13">
        <v>7</v>
      </c>
      <c r="Z156" s="58">
        <f t="shared" si="340"/>
        <v>588</v>
      </c>
    </row>
    <row r="157" spans="2:26" x14ac:dyDescent="0.25">
      <c r="B157" s="2" t="s">
        <v>99</v>
      </c>
      <c r="C157" s="58">
        <v>293</v>
      </c>
      <c r="D157" s="58">
        <v>35</v>
      </c>
      <c r="E157" s="58">
        <f t="shared" si="333"/>
        <v>328</v>
      </c>
      <c r="F157" s="58">
        <v>288</v>
      </c>
      <c r="G157" s="58">
        <v>25</v>
      </c>
      <c r="H157" s="58">
        <f t="shared" si="334"/>
        <v>313</v>
      </c>
      <c r="I157" s="58">
        <v>245</v>
      </c>
      <c r="J157" s="58">
        <v>39</v>
      </c>
      <c r="K157" s="58">
        <f t="shared" si="335"/>
        <v>284</v>
      </c>
      <c r="L157" s="58">
        <v>198</v>
      </c>
      <c r="M157" s="58">
        <v>29</v>
      </c>
      <c r="N157" s="58">
        <f t="shared" si="336"/>
        <v>227</v>
      </c>
      <c r="O157" s="13">
        <v>204</v>
      </c>
      <c r="P157" s="13">
        <v>20</v>
      </c>
      <c r="Q157" s="58">
        <f t="shared" si="337"/>
        <v>224</v>
      </c>
      <c r="R157" s="13">
        <v>237</v>
      </c>
      <c r="S157" s="13">
        <v>28</v>
      </c>
      <c r="T157" s="58">
        <f t="shared" si="338"/>
        <v>265</v>
      </c>
      <c r="U157" s="13">
        <v>188</v>
      </c>
      <c r="V157" s="13">
        <v>35</v>
      </c>
      <c r="W157" s="58">
        <f t="shared" si="339"/>
        <v>223</v>
      </c>
      <c r="X157" s="13">
        <v>217</v>
      </c>
      <c r="Y157" s="13">
        <v>16</v>
      </c>
      <c r="Z157" s="58">
        <f t="shared" si="340"/>
        <v>233</v>
      </c>
    </row>
    <row r="158" spans="2:26" x14ac:dyDescent="0.25">
      <c r="B158" s="2" t="s">
        <v>100</v>
      </c>
      <c r="C158" s="58">
        <v>127</v>
      </c>
      <c r="D158" s="58">
        <v>9</v>
      </c>
      <c r="E158" s="58">
        <f t="shared" si="333"/>
        <v>136</v>
      </c>
      <c r="F158" s="58">
        <v>102</v>
      </c>
      <c r="G158" s="58">
        <v>9</v>
      </c>
      <c r="H158" s="58">
        <f t="shared" si="334"/>
        <v>111</v>
      </c>
      <c r="I158" s="58">
        <v>84</v>
      </c>
      <c r="J158" s="58">
        <v>11</v>
      </c>
      <c r="K158" s="58">
        <f t="shared" si="335"/>
        <v>95</v>
      </c>
      <c r="L158" s="58">
        <v>87</v>
      </c>
      <c r="M158" s="58">
        <v>11</v>
      </c>
      <c r="N158" s="58">
        <f t="shared" si="336"/>
        <v>98</v>
      </c>
      <c r="O158" s="13">
        <v>83</v>
      </c>
      <c r="P158" s="13">
        <v>8</v>
      </c>
      <c r="Q158" s="58">
        <f t="shared" si="337"/>
        <v>91</v>
      </c>
      <c r="R158" s="13">
        <v>76</v>
      </c>
      <c r="S158" s="13">
        <v>9</v>
      </c>
      <c r="T158" s="58">
        <f t="shared" si="338"/>
        <v>85</v>
      </c>
      <c r="U158" s="13">
        <v>81</v>
      </c>
      <c r="V158" s="13">
        <v>5</v>
      </c>
      <c r="W158" s="58">
        <f t="shared" si="339"/>
        <v>86</v>
      </c>
      <c r="X158" s="13">
        <v>78</v>
      </c>
      <c r="Y158" s="13">
        <v>9</v>
      </c>
      <c r="Z158" s="58">
        <f t="shared" si="340"/>
        <v>87</v>
      </c>
    </row>
    <row r="159" spans="2:26" x14ac:dyDescent="0.25">
      <c r="B159" s="2" t="s">
        <v>101</v>
      </c>
      <c r="C159" s="58">
        <v>236</v>
      </c>
      <c r="D159" s="58">
        <v>14</v>
      </c>
      <c r="E159" s="58">
        <f t="shared" si="333"/>
        <v>250</v>
      </c>
      <c r="F159" s="58">
        <v>252</v>
      </c>
      <c r="G159" s="58">
        <v>19</v>
      </c>
      <c r="H159" s="58">
        <f t="shared" si="334"/>
        <v>271</v>
      </c>
      <c r="I159" s="58">
        <v>295</v>
      </c>
      <c r="J159" s="58">
        <v>21</v>
      </c>
      <c r="K159" s="58">
        <f t="shared" si="335"/>
        <v>316</v>
      </c>
      <c r="L159" s="58">
        <v>288</v>
      </c>
      <c r="M159" s="58">
        <v>28</v>
      </c>
      <c r="N159" s="58">
        <f t="shared" si="336"/>
        <v>316</v>
      </c>
      <c r="O159" s="13">
        <v>333</v>
      </c>
      <c r="P159" s="13">
        <v>20</v>
      </c>
      <c r="Q159" s="58">
        <f t="shared" si="337"/>
        <v>353</v>
      </c>
      <c r="R159" s="13">
        <v>455</v>
      </c>
      <c r="S159" s="13">
        <v>29</v>
      </c>
      <c r="T159" s="58">
        <f t="shared" si="338"/>
        <v>484</v>
      </c>
      <c r="U159" s="13">
        <v>472</v>
      </c>
      <c r="V159" s="13">
        <v>26</v>
      </c>
      <c r="W159" s="58">
        <f t="shared" si="339"/>
        <v>498</v>
      </c>
      <c r="X159" s="13">
        <v>597</v>
      </c>
      <c r="Y159" s="13">
        <v>28</v>
      </c>
      <c r="Z159" s="58">
        <f t="shared" si="340"/>
        <v>625</v>
      </c>
    </row>
    <row r="160" spans="2:26" x14ac:dyDescent="0.25">
      <c r="B160" s="6"/>
      <c r="C160" s="58">
        <f>SUM(C151:C159)</f>
        <v>3956</v>
      </c>
      <c r="D160" s="57">
        <f t="shared" ref="D160:K160" si="341">SUM(D151:D159)</f>
        <v>236</v>
      </c>
      <c r="E160" s="58">
        <f t="shared" si="341"/>
        <v>4192</v>
      </c>
      <c r="F160" s="58">
        <f t="shared" si="341"/>
        <v>3934</v>
      </c>
      <c r="G160" s="57">
        <f t="shared" si="341"/>
        <v>222</v>
      </c>
      <c r="H160" s="58">
        <f t="shared" si="341"/>
        <v>4156</v>
      </c>
      <c r="I160" s="58">
        <f t="shared" si="341"/>
        <v>3841</v>
      </c>
      <c r="J160" s="57">
        <f t="shared" si="341"/>
        <v>258</v>
      </c>
      <c r="K160" s="58">
        <f t="shared" si="341"/>
        <v>4099</v>
      </c>
      <c r="L160" s="58">
        <f>SUM(L151:L159)</f>
        <v>3798</v>
      </c>
      <c r="M160" s="57">
        <f>SUM(M151:M159)</f>
        <v>244</v>
      </c>
      <c r="N160" s="58">
        <f>SUM(N151:N159)</f>
        <v>4042</v>
      </c>
      <c r="O160" s="58">
        <f t="shared" ref="O160:Q160" si="342">SUM(O151:O159)</f>
        <v>4053</v>
      </c>
      <c r="P160" s="58">
        <f t="shared" si="342"/>
        <v>234</v>
      </c>
      <c r="Q160" s="58">
        <f t="shared" si="342"/>
        <v>4287</v>
      </c>
      <c r="R160" s="58">
        <f t="shared" ref="R160:S160" si="343">SUM(R151:R159)</f>
        <v>4421</v>
      </c>
      <c r="S160" s="58">
        <f t="shared" si="343"/>
        <v>275</v>
      </c>
      <c r="T160" s="58">
        <f>SUM(T151:T159)</f>
        <v>4696</v>
      </c>
      <c r="U160" s="58">
        <f t="shared" ref="U160:V160" si="344">SUM(U151:U159)</f>
        <v>4808</v>
      </c>
      <c r="V160" s="58">
        <f t="shared" si="344"/>
        <v>298</v>
      </c>
      <c r="W160" s="58">
        <f>SUM(W151:W159)</f>
        <v>5106</v>
      </c>
      <c r="X160" s="58">
        <f t="shared" ref="X160:Y160" si="345">SUM(X151:X159)</f>
        <v>5232</v>
      </c>
      <c r="Y160" s="58">
        <f t="shared" si="345"/>
        <v>307</v>
      </c>
      <c r="Z160" s="58">
        <f>SUM(Z151:Z159)</f>
        <v>5539</v>
      </c>
    </row>
    <row r="161" spans="2:2" x14ac:dyDescent="0.25">
      <c r="B161" s="6"/>
    </row>
  </sheetData>
  <mergeCells count="40">
    <mergeCell ref="U4:W4"/>
    <mergeCell ref="U36:W36"/>
    <mergeCell ref="U68:W68"/>
    <mergeCell ref="U100:W100"/>
    <mergeCell ref="U132:W132"/>
    <mergeCell ref="R4:T4"/>
    <mergeCell ref="R36:T36"/>
    <mergeCell ref="R68:T68"/>
    <mergeCell ref="R100:T100"/>
    <mergeCell ref="R132:T132"/>
    <mergeCell ref="C4:E4"/>
    <mergeCell ref="F4:H4"/>
    <mergeCell ref="I4:K4"/>
    <mergeCell ref="L4:N4"/>
    <mergeCell ref="O4:Q4"/>
    <mergeCell ref="C132:E132"/>
    <mergeCell ref="F132:H132"/>
    <mergeCell ref="I132:K132"/>
    <mergeCell ref="L132:N132"/>
    <mergeCell ref="O132:Q132"/>
    <mergeCell ref="C68:E68"/>
    <mergeCell ref="F68:H68"/>
    <mergeCell ref="I68:K68"/>
    <mergeCell ref="L68:N68"/>
    <mergeCell ref="O68:Q68"/>
    <mergeCell ref="C100:E100"/>
    <mergeCell ref="F100:H100"/>
    <mergeCell ref="I100:K100"/>
    <mergeCell ref="L100:N100"/>
    <mergeCell ref="O100:Q100"/>
    <mergeCell ref="C36:E36"/>
    <mergeCell ref="F36:H36"/>
    <mergeCell ref="I36:K36"/>
    <mergeCell ref="L36:N36"/>
    <mergeCell ref="O36:Q36"/>
    <mergeCell ref="X4:Z4"/>
    <mergeCell ref="X36:Z36"/>
    <mergeCell ref="X68:Z68"/>
    <mergeCell ref="X100:Z100"/>
    <mergeCell ref="X132:Z132"/>
  </mergeCells>
  <pageMargins left="0.70866141732283472" right="0.70866141732283472" top="0.74803149606299213" bottom="0.74803149606299213" header="0.31496062992125984" footer="0.31496062992125984"/>
  <pageSetup paperSize="9" scale="20" orientation="landscape" r:id="rId1"/>
  <ignoredErrors>
    <ignoredError sqref="T24:T27 T29:T30 Z29 Z1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61"/>
  <sheetViews>
    <sheetView zoomScaleNormal="100" workbookViewId="0">
      <pane ySplit="2" topLeftCell="A12"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306</v>
      </c>
    </row>
    <row r="3" spans="2:10" ht="18.75" x14ac:dyDescent="0.3">
      <c r="B3" s="4"/>
    </row>
    <row r="4" spans="2:10" ht="18.75" x14ac:dyDescent="0.3">
      <c r="B4" s="18" t="s">
        <v>108</v>
      </c>
      <c r="C4" s="19">
        <v>2012</v>
      </c>
      <c r="D4" s="19">
        <v>2013</v>
      </c>
      <c r="E4" s="19">
        <v>2014</v>
      </c>
      <c r="F4" s="19">
        <v>2015</v>
      </c>
      <c r="G4" s="19">
        <v>2016</v>
      </c>
      <c r="H4" s="19">
        <v>2017</v>
      </c>
      <c r="I4" s="19">
        <v>2018</v>
      </c>
      <c r="J4" s="19">
        <v>2019</v>
      </c>
    </row>
    <row r="5" spans="2:10" x14ac:dyDescent="0.25">
      <c r="B5" s="2" t="s">
        <v>135</v>
      </c>
      <c r="C5" s="28">
        <v>6570</v>
      </c>
      <c r="D5" s="28">
        <v>6702</v>
      </c>
      <c r="E5" s="28">
        <v>5754</v>
      </c>
      <c r="F5" s="28">
        <v>5247</v>
      </c>
      <c r="G5" s="28">
        <v>4642</v>
      </c>
      <c r="H5" s="28">
        <v>4671</v>
      </c>
      <c r="I5" s="28">
        <v>4909</v>
      </c>
      <c r="J5" s="28">
        <v>5141</v>
      </c>
    </row>
    <row r="6" spans="2:10" x14ac:dyDescent="0.25">
      <c r="B6" s="2" t="s">
        <v>136</v>
      </c>
      <c r="C6" s="28">
        <v>2437</v>
      </c>
      <c r="D6" s="28">
        <v>2313</v>
      </c>
      <c r="E6" s="28">
        <v>1955</v>
      </c>
      <c r="F6" s="28">
        <v>1751</v>
      </c>
      <c r="G6" s="28">
        <v>1598</v>
      </c>
      <c r="H6" s="28">
        <v>1581</v>
      </c>
      <c r="I6" s="28">
        <v>1587</v>
      </c>
      <c r="J6" s="28">
        <v>1552</v>
      </c>
    </row>
    <row r="7" spans="2:10" x14ac:dyDescent="0.25">
      <c r="B7" s="2" t="s">
        <v>137</v>
      </c>
      <c r="C7" s="111">
        <f>C6/C5</f>
        <v>0.37092846270928465</v>
      </c>
      <c r="D7" s="111">
        <f t="shared" ref="D7:F7" si="0">D6/D5</f>
        <v>0.34512085944494181</v>
      </c>
      <c r="E7" s="111">
        <f t="shared" si="0"/>
        <v>0.33976364268335069</v>
      </c>
      <c r="F7" s="111">
        <f t="shared" si="0"/>
        <v>0.33371450352582427</v>
      </c>
      <c r="G7" s="135">
        <v>0.34</v>
      </c>
      <c r="H7" s="111">
        <f>H6/H5</f>
        <v>0.3384714193962749</v>
      </c>
      <c r="I7" s="111">
        <f>I6/I5</f>
        <v>0.32328376451415769</v>
      </c>
      <c r="J7" s="111">
        <f>J6/J5</f>
        <v>0.30188679245283018</v>
      </c>
    </row>
    <row r="8" spans="2:10" x14ac:dyDescent="0.25">
      <c r="B8" s="47"/>
      <c r="C8" s="22"/>
      <c r="D8" s="22"/>
      <c r="E8" s="22"/>
      <c r="F8" s="22"/>
      <c r="G8" s="22"/>
      <c r="H8" s="22"/>
      <c r="I8" s="22"/>
      <c r="J8" s="151"/>
    </row>
    <row r="9" spans="2:10" x14ac:dyDescent="0.25">
      <c r="B9" s="47"/>
      <c r="C9" s="22"/>
      <c r="D9" s="22"/>
      <c r="E9" s="22"/>
      <c r="F9" s="22"/>
      <c r="G9" s="22"/>
      <c r="H9" s="22"/>
      <c r="I9" s="22"/>
      <c r="J9" s="151"/>
    </row>
    <row r="10" spans="2:10" x14ac:dyDescent="0.25">
      <c r="B10" s="6"/>
      <c r="J10" s="161"/>
    </row>
    <row r="11" spans="2:10" x14ac:dyDescent="0.25">
      <c r="B11" s="6"/>
      <c r="J11" s="161"/>
    </row>
    <row r="12" spans="2:10" ht="18.75" x14ac:dyDescent="0.3">
      <c r="B12" s="18" t="s">
        <v>109</v>
      </c>
      <c r="C12" s="19">
        <v>2012</v>
      </c>
      <c r="D12" s="19">
        <v>2013</v>
      </c>
      <c r="E12" s="19">
        <v>2014</v>
      </c>
      <c r="F12" s="19">
        <v>2015</v>
      </c>
      <c r="G12" s="19">
        <v>2016</v>
      </c>
      <c r="H12" s="19">
        <v>2017</v>
      </c>
      <c r="I12" s="19">
        <v>2018</v>
      </c>
      <c r="J12" s="19">
        <v>2019</v>
      </c>
    </row>
    <row r="13" spans="2:10" x14ac:dyDescent="0.25">
      <c r="B13" s="2" t="s">
        <v>135</v>
      </c>
      <c r="C13" s="28">
        <v>3326</v>
      </c>
      <c r="D13" s="28">
        <v>3184</v>
      </c>
      <c r="E13" s="28">
        <v>2981</v>
      </c>
      <c r="F13" s="28">
        <v>2980</v>
      </c>
      <c r="G13" s="13">
        <v>2875</v>
      </c>
      <c r="H13" s="13">
        <v>2802</v>
      </c>
      <c r="I13" s="13">
        <v>2776</v>
      </c>
      <c r="J13" s="13">
        <v>2730</v>
      </c>
    </row>
    <row r="14" spans="2:10" x14ac:dyDescent="0.25">
      <c r="B14" s="2" t="s">
        <v>319</v>
      </c>
      <c r="C14" s="28">
        <v>1150</v>
      </c>
      <c r="D14" s="28">
        <v>1111</v>
      </c>
      <c r="E14" s="28">
        <v>1049</v>
      </c>
      <c r="F14" s="28">
        <v>1070</v>
      </c>
      <c r="G14" s="13">
        <v>1016</v>
      </c>
      <c r="H14" s="13">
        <v>987</v>
      </c>
      <c r="I14" s="13">
        <v>916</v>
      </c>
      <c r="J14" s="13">
        <v>897</v>
      </c>
    </row>
    <row r="15" spans="2:10" x14ac:dyDescent="0.25">
      <c r="B15" s="2" t="s">
        <v>137</v>
      </c>
      <c r="C15" s="111">
        <f t="shared" ref="C15:G15" si="1">C14/C13</f>
        <v>0.34576067348165967</v>
      </c>
      <c r="D15" s="111">
        <f t="shared" si="1"/>
        <v>0.34893216080402012</v>
      </c>
      <c r="E15" s="111">
        <f t="shared" si="1"/>
        <v>0.35189533713518956</v>
      </c>
      <c r="F15" s="111">
        <f t="shared" si="1"/>
        <v>0.35906040268456374</v>
      </c>
      <c r="G15" s="144">
        <f t="shared" si="1"/>
        <v>0.35339130434782606</v>
      </c>
      <c r="H15" s="144">
        <f>H14/H13</f>
        <v>0.35224839400428265</v>
      </c>
      <c r="I15" s="144">
        <f>I14/I13</f>
        <v>0.32997118155619598</v>
      </c>
      <c r="J15" s="144">
        <f>J14/J13</f>
        <v>0.32857142857142857</v>
      </c>
    </row>
    <row r="16" spans="2:10" x14ac:dyDescent="0.25">
      <c r="B16" s="47"/>
      <c r="J16" s="161"/>
    </row>
    <row r="17" spans="2:10" x14ac:dyDescent="0.25">
      <c r="B17" s="127" t="s">
        <v>320</v>
      </c>
      <c r="J17" s="161"/>
    </row>
    <row r="18" spans="2:10" x14ac:dyDescent="0.25">
      <c r="B18" s="6"/>
      <c r="J18" s="161"/>
    </row>
    <row r="19" spans="2:10" x14ac:dyDescent="0.25">
      <c r="B19" s="6"/>
      <c r="J19" s="161"/>
    </row>
    <row r="20" spans="2:10" ht="18.75" x14ac:dyDescent="0.3">
      <c r="B20" s="18" t="s">
        <v>110</v>
      </c>
      <c r="C20" s="19">
        <v>2012</v>
      </c>
      <c r="D20" s="19">
        <v>2013</v>
      </c>
      <c r="E20" s="19">
        <v>2014</v>
      </c>
      <c r="F20" s="19">
        <v>2015</v>
      </c>
      <c r="G20" s="19">
        <v>2016</v>
      </c>
      <c r="H20" s="19">
        <v>2017</v>
      </c>
      <c r="I20" s="19">
        <v>2018</v>
      </c>
      <c r="J20" s="19">
        <v>2019</v>
      </c>
    </row>
    <row r="21" spans="2:10" x14ac:dyDescent="0.25">
      <c r="B21" s="2" t="s">
        <v>135</v>
      </c>
      <c r="C21" s="2">
        <v>228</v>
      </c>
      <c r="D21" s="2">
        <v>205</v>
      </c>
      <c r="E21" s="2">
        <v>191</v>
      </c>
      <c r="F21" s="2">
        <v>205</v>
      </c>
      <c r="G21" s="38">
        <v>169</v>
      </c>
      <c r="H21" s="38">
        <v>143</v>
      </c>
      <c r="I21" s="38">
        <v>151</v>
      </c>
      <c r="J21" s="38">
        <v>198</v>
      </c>
    </row>
    <row r="22" spans="2:10" x14ac:dyDescent="0.25">
      <c r="B22" s="2" t="s">
        <v>136</v>
      </c>
      <c r="C22" s="2">
        <v>42</v>
      </c>
      <c r="D22" s="2">
        <v>41</v>
      </c>
      <c r="E22" s="2">
        <v>38</v>
      </c>
      <c r="F22" s="2">
        <v>48</v>
      </c>
      <c r="G22" s="38">
        <v>33</v>
      </c>
      <c r="H22" s="38">
        <v>20</v>
      </c>
      <c r="I22" s="38">
        <v>32</v>
      </c>
      <c r="J22" s="38">
        <v>43</v>
      </c>
    </row>
    <row r="23" spans="2:10" x14ac:dyDescent="0.25">
      <c r="B23" s="2" t="s">
        <v>137</v>
      </c>
      <c r="C23" s="111">
        <f t="shared" ref="C23:E23" si="2">C22/C21</f>
        <v>0.18421052631578946</v>
      </c>
      <c r="D23" s="111">
        <f t="shared" si="2"/>
        <v>0.2</v>
      </c>
      <c r="E23" s="111">
        <f t="shared" si="2"/>
        <v>0.19895287958115182</v>
      </c>
      <c r="F23" s="111">
        <f>F22/F21</f>
        <v>0.23414634146341465</v>
      </c>
      <c r="G23" s="111">
        <f>G22/G21</f>
        <v>0.19526627218934911</v>
      </c>
      <c r="H23" s="111">
        <f>H22/H21</f>
        <v>0.13986013986013987</v>
      </c>
      <c r="I23" s="111">
        <f>I22/I21</f>
        <v>0.2119205298013245</v>
      </c>
      <c r="J23" s="111">
        <f>J22/J21</f>
        <v>0.21717171717171718</v>
      </c>
    </row>
    <row r="24" spans="2:10" x14ac:dyDescent="0.25">
      <c r="B24" s="47"/>
      <c r="J24" s="161"/>
    </row>
    <row r="25" spans="2:10" x14ac:dyDescent="0.25">
      <c r="B25" s="47"/>
      <c r="J25" s="161"/>
    </row>
    <row r="26" spans="2:10" x14ac:dyDescent="0.25">
      <c r="B26" s="6"/>
      <c r="J26" s="161"/>
    </row>
    <row r="27" spans="2:10" x14ac:dyDescent="0.25">
      <c r="B27" s="6"/>
      <c r="J27" s="161"/>
    </row>
    <row r="28" spans="2:10" ht="18.75" x14ac:dyDescent="0.3">
      <c r="B28" s="18" t="s">
        <v>111</v>
      </c>
      <c r="C28" s="19">
        <v>2012</v>
      </c>
      <c r="D28" s="19">
        <v>2013</v>
      </c>
      <c r="E28" s="19">
        <v>2014</v>
      </c>
      <c r="F28" s="19">
        <v>2015</v>
      </c>
      <c r="G28" s="19">
        <v>2016</v>
      </c>
      <c r="H28" s="19">
        <v>2017</v>
      </c>
      <c r="I28" s="19">
        <v>2018</v>
      </c>
      <c r="J28" s="19">
        <v>2019</v>
      </c>
    </row>
    <row r="29" spans="2:10" x14ac:dyDescent="0.25">
      <c r="B29" s="2" t="s">
        <v>344</v>
      </c>
      <c r="C29" s="28">
        <v>5472</v>
      </c>
      <c r="D29" s="28">
        <v>5517</v>
      </c>
      <c r="E29" s="28">
        <v>5023</v>
      </c>
      <c r="F29" s="37">
        <v>5749</v>
      </c>
      <c r="G29" s="37">
        <v>6428</v>
      </c>
      <c r="H29" s="38">
        <v>4836</v>
      </c>
      <c r="I29" s="37">
        <v>4509</v>
      </c>
      <c r="J29" s="38" t="s">
        <v>237</v>
      </c>
    </row>
    <row r="30" spans="2:10" x14ac:dyDescent="0.25">
      <c r="B30" s="2" t="s">
        <v>343</v>
      </c>
      <c r="C30" s="38" t="s">
        <v>237</v>
      </c>
      <c r="D30" s="2">
        <v>988</v>
      </c>
      <c r="E30" s="28">
        <v>1014</v>
      </c>
      <c r="F30" s="37">
        <v>1171</v>
      </c>
      <c r="G30" s="37">
        <v>1349</v>
      </c>
      <c r="H30" s="38">
        <v>905</v>
      </c>
      <c r="I30" s="37">
        <v>794</v>
      </c>
      <c r="J30" s="38" t="s">
        <v>237</v>
      </c>
    </row>
    <row r="31" spans="2:10" x14ac:dyDescent="0.25">
      <c r="B31" s="2" t="s">
        <v>137</v>
      </c>
      <c r="C31" s="38" t="s">
        <v>237</v>
      </c>
      <c r="D31" s="111">
        <f t="shared" ref="D31:I31" si="3">D30/D29</f>
        <v>0.17908283487402574</v>
      </c>
      <c r="E31" s="111">
        <f t="shared" si="3"/>
        <v>0.20187139159864623</v>
      </c>
      <c r="F31" s="111">
        <f t="shared" si="3"/>
        <v>0.20368759784310314</v>
      </c>
      <c r="G31" s="111">
        <f t="shared" si="3"/>
        <v>0.20986309894212818</v>
      </c>
      <c r="H31" s="111">
        <f t="shared" si="3"/>
        <v>0.18713813068651777</v>
      </c>
      <c r="I31" s="111">
        <f t="shared" si="3"/>
        <v>0.17609225992459526</v>
      </c>
      <c r="J31" s="38" t="s">
        <v>237</v>
      </c>
    </row>
    <row r="32" spans="2:10" x14ac:dyDescent="0.25">
      <c r="B32" s="47"/>
      <c r="J32" s="161"/>
    </row>
    <row r="33" spans="2:10" x14ac:dyDescent="0.25">
      <c r="B33" s="92" t="s">
        <v>341</v>
      </c>
      <c r="J33" s="161"/>
    </row>
    <row r="34" spans="2:10" x14ac:dyDescent="0.25">
      <c r="B34" s="6"/>
      <c r="J34" s="161"/>
    </row>
    <row r="35" spans="2:10" x14ac:dyDescent="0.25">
      <c r="B35" s="6"/>
      <c r="J35" s="161"/>
    </row>
    <row r="36" spans="2:10" ht="18.75" x14ac:dyDescent="0.3">
      <c r="B36" s="18" t="s">
        <v>112</v>
      </c>
      <c r="C36" s="19">
        <v>2012</v>
      </c>
      <c r="D36" s="19">
        <v>2013</v>
      </c>
      <c r="E36" s="19">
        <v>2014</v>
      </c>
      <c r="F36" s="19">
        <v>2015</v>
      </c>
      <c r="G36" s="19">
        <v>2016</v>
      </c>
      <c r="H36" s="19">
        <v>2017</v>
      </c>
      <c r="I36" s="19">
        <v>2018</v>
      </c>
      <c r="J36" s="19">
        <v>2019</v>
      </c>
    </row>
    <row r="37" spans="2:10" x14ac:dyDescent="0.25">
      <c r="B37" s="2" t="s">
        <v>135</v>
      </c>
      <c r="C37" s="59">
        <v>9425</v>
      </c>
      <c r="D37" s="59">
        <v>8828</v>
      </c>
      <c r="E37" s="59">
        <v>8350</v>
      </c>
      <c r="F37" s="59">
        <v>8158</v>
      </c>
      <c r="G37" s="13">
        <v>7879</v>
      </c>
      <c r="H37" s="13">
        <v>7792</v>
      </c>
      <c r="I37" s="60">
        <v>7959</v>
      </c>
      <c r="J37" s="13">
        <v>7995</v>
      </c>
    </row>
    <row r="38" spans="2:10" x14ac:dyDescent="0.25">
      <c r="B38" s="2" t="s">
        <v>136</v>
      </c>
      <c r="C38" s="60">
        <v>3261</v>
      </c>
      <c r="D38" s="60">
        <v>2962</v>
      </c>
      <c r="E38" s="60">
        <v>2823</v>
      </c>
      <c r="F38" s="60">
        <v>2653</v>
      </c>
      <c r="G38" s="13">
        <v>2561</v>
      </c>
      <c r="H38" s="13">
        <v>2471</v>
      </c>
      <c r="I38" s="60">
        <v>2530</v>
      </c>
      <c r="J38" s="13">
        <v>2479</v>
      </c>
    </row>
    <row r="39" spans="2:10" x14ac:dyDescent="0.25">
      <c r="B39" s="2" t="s">
        <v>137</v>
      </c>
      <c r="C39" s="61">
        <f t="shared" ref="C39:F39" si="4">C38/C37</f>
        <v>0.34599469496021218</v>
      </c>
      <c r="D39" s="61">
        <f t="shared" si="4"/>
        <v>0.33552333484367919</v>
      </c>
      <c r="E39" s="61">
        <f t="shared" si="4"/>
        <v>0.33808383233532935</v>
      </c>
      <c r="F39" s="61">
        <f t="shared" si="4"/>
        <v>0.32520225545476833</v>
      </c>
      <c r="G39" s="61">
        <f>G38/G37</f>
        <v>0.32504124888945296</v>
      </c>
      <c r="H39" s="61">
        <f>H38/H37</f>
        <v>0.31712012320328542</v>
      </c>
      <c r="I39" s="61">
        <f>I38/I37</f>
        <v>0.31787913054403821</v>
      </c>
      <c r="J39" s="61">
        <f>J38/J37</f>
        <v>0.31006879299562229</v>
      </c>
    </row>
    <row r="40" spans="2:10" x14ac:dyDescent="0.25">
      <c r="B40" s="47"/>
      <c r="C40" s="52"/>
      <c r="D40" s="52"/>
      <c r="E40" s="52"/>
      <c r="F40" s="52"/>
      <c r="G40" s="36"/>
      <c r="H40" s="36"/>
    </row>
    <row r="41" spans="2:10" x14ac:dyDescent="0.25">
      <c r="B41" s="47"/>
      <c r="C41" s="52"/>
      <c r="D41" s="52"/>
      <c r="E41" s="52"/>
      <c r="F41" s="49"/>
      <c r="G41" s="37"/>
      <c r="H41" s="37"/>
    </row>
    <row r="42" spans="2:10" x14ac:dyDescent="0.25">
      <c r="B42" s="17" t="s">
        <v>248</v>
      </c>
      <c r="C42" s="2"/>
      <c r="D42" s="2"/>
      <c r="E42" s="2"/>
      <c r="F42" s="2"/>
      <c r="G42" s="36"/>
      <c r="H42" s="36"/>
    </row>
    <row r="43" spans="2:10" x14ac:dyDescent="0.25">
      <c r="B43" s="41"/>
      <c r="C43" s="2"/>
      <c r="D43" s="2"/>
      <c r="E43" s="2"/>
      <c r="F43" s="2"/>
      <c r="G43" s="2"/>
      <c r="H43" s="2"/>
    </row>
    <row r="44" spans="2:10" x14ac:dyDescent="0.25">
      <c r="B44" s="47"/>
      <c r="C44" s="2"/>
      <c r="D44" s="2"/>
      <c r="E44" s="2"/>
      <c r="F44" s="2"/>
      <c r="G44" s="2"/>
      <c r="H44" s="2"/>
    </row>
    <row r="45" spans="2:10" x14ac:dyDescent="0.25">
      <c r="B45" s="14"/>
      <c r="C45" s="2"/>
      <c r="D45" s="2"/>
      <c r="E45" s="2"/>
      <c r="F45" s="2"/>
      <c r="G45" s="38"/>
      <c r="H45" s="38"/>
    </row>
    <row r="46" spans="2:10" x14ac:dyDescent="0.25">
      <c r="B46" s="47"/>
      <c r="C46" s="21"/>
      <c r="D46" s="21"/>
      <c r="E46" s="21"/>
      <c r="F46" s="21"/>
      <c r="G46" s="38"/>
      <c r="H46" s="38"/>
    </row>
    <row r="47" spans="2:10" x14ac:dyDescent="0.25">
      <c r="B47" s="47"/>
      <c r="C47" s="21"/>
      <c r="D47" s="21"/>
      <c r="E47" s="21"/>
      <c r="F47" s="21"/>
      <c r="G47" s="38"/>
      <c r="H47" s="38"/>
    </row>
    <row r="48" spans="2:10" x14ac:dyDescent="0.25">
      <c r="B48" s="2"/>
      <c r="C48" s="2"/>
      <c r="D48" s="2"/>
      <c r="E48" s="2"/>
      <c r="F48" s="2"/>
      <c r="G48" s="36"/>
      <c r="H48" s="36"/>
    </row>
    <row r="49" spans="2:8" x14ac:dyDescent="0.25">
      <c r="B49" s="41"/>
      <c r="C49" s="2"/>
      <c r="D49" s="2"/>
      <c r="E49" s="2"/>
      <c r="F49" s="2"/>
      <c r="G49" s="36"/>
      <c r="H49" s="36"/>
    </row>
    <row r="50" spans="2:8" x14ac:dyDescent="0.25">
      <c r="B50" s="47"/>
      <c r="C50" s="2"/>
      <c r="D50" s="2"/>
      <c r="E50" s="2"/>
      <c r="F50" s="2"/>
      <c r="G50" s="38"/>
      <c r="H50" s="38"/>
    </row>
    <row r="51" spans="2:8" x14ac:dyDescent="0.25">
      <c r="B51" s="14"/>
      <c r="C51" s="2"/>
      <c r="D51" s="2"/>
      <c r="E51" s="2"/>
      <c r="F51" s="2"/>
      <c r="G51" s="38"/>
      <c r="H51" s="38"/>
    </row>
    <row r="52" spans="2:8" x14ac:dyDescent="0.25">
      <c r="B52" s="47"/>
      <c r="C52" s="21"/>
      <c r="D52" s="21"/>
      <c r="E52" s="21"/>
      <c r="F52" s="21"/>
      <c r="G52" s="36"/>
      <c r="H52" s="36"/>
    </row>
    <row r="53" spans="2:8" x14ac:dyDescent="0.25">
      <c r="B53" s="47"/>
      <c r="C53" s="21"/>
      <c r="D53" s="21"/>
      <c r="E53" s="50"/>
      <c r="F53" s="50"/>
      <c r="G53" s="36"/>
      <c r="H53" s="36"/>
    </row>
    <row r="54" spans="2:8" x14ac:dyDescent="0.25">
      <c r="B54" s="2"/>
      <c r="C54" s="2"/>
      <c r="D54" s="2"/>
      <c r="E54" s="2"/>
      <c r="F54" s="2"/>
      <c r="G54" s="22"/>
      <c r="H54" s="22"/>
    </row>
    <row r="55" spans="2:8" x14ac:dyDescent="0.25">
      <c r="B55" s="41"/>
      <c r="C55" s="13"/>
      <c r="D55" s="13"/>
      <c r="E55" s="13"/>
      <c r="F55" s="13"/>
      <c r="G55" s="22"/>
      <c r="H55" s="22"/>
    </row>
    <row r="56" spans="2:8" x14ac:dyDescent="0.25">
      <c r="B56" s="9"/>
      <c r="C56" s="22"/>
      <c r="D56" s="22"/>
      <c r="E56" s="22"/>
      <c r="F56" s="22"/>
      <c r="G56" s="22"/>
      <c r="H56" s="22"/>
    </row>
    <row r="57" spans="2:8" x14ac:dyDescent="0.25">
      <c r="B57" s="9"/>
    </row>
    <row r="58" spans="2:8" x14ac:dyDescent="0.25">
      <c r="B58" s="9"/>
    </row>
    <row r="59" spans="2:8" x14ac:dyDescent="0.25">
      <c r="B59" s="10"/>
    </row>
    <row r="60" spans="2:8" x14ac:dyDescent="0.25">
      <c r="B60" s="6"/>
    </row>
    <row r="61" spans="2:8" x14ac:dyDescent="0.25">
      <c r="B61" s="6"/>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M19"/>
  <sheetViews>
    <sheetView zoomScaleNormal="100"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8" width="10" style="1" customWidth="1"/>
    <col min="9" max="9" width="9" style="1"/>
    <col min="10" max="10" width="10" style="1" customWidth="1"/>
    <col min="11" max="16384" width="9" style="1"/>
  </cols>
  <sheetData>
    <row r="2" spans="2:13" ht="18.75" x14ac:dyDescent="0.3">
      <c r="B2" s="4" t="s">
        <v>259</v>
      </c>
    </row>
    <row r="3" spans="2:13" ht="18.75" x14ac:dyDescent="0.3">
      <c r="B3" s="4"/>
    </row>
    <row r="4" spans="2:13" ht="18.75" x14ac:dyDescent="0.3">
      <c r="B4" s="18"/>
      <c r="C4" s="19">
        <v>2014</v>
      </c>
      <c r="D4" s="19">
        <v>2015</v>
      </c>
      <c r="E4" s="19">
        <v>2016</v>
      </c>
      <c r="F4" s="19">
        <v>2017</v>
      </c>
      <c r="G4" s="19">
        <v>2018</v>
      </c>
      <c r="H4" s="19">
        <v>2019</v>
      </c>
      <c r="I4" s="19">
        <v>2020</v>
      </c>
      <c r="J4" s="19">
        <v>2021</v>
      </c>
    </row>
    <row r="5" spans="2:13" x14ac:dyDescent="0.25">
      <c r="B5" s="2" t="s">
        <v>1</v>
      </c>
      <c r="C5" s="21">
        <v>6.3</v>
      </c>
      <c r="D5" s="21">
        <v>7.3</v>
      </c>
      <c r="E5" s="21">
        <v>6.9</v>
      </c>
      <c r="F5" s="134">
        <v>7</v>
      </c>
      <c r="G5" s="21">
        <v>8.1</v>
      </c>
      <c r="H5" s="21">
        <v>8.1999999999999993</v>
      </c>
      <c r="I5" s="21">
        <v>9.1</v>
      </c>
      <c r="J5" s="21">
        <v>10.1</v>
      </c>
    </row>
    <row r="6" spans="2:13" x14ac:dyDescent="0.25">
      <c r="B6" s="2" t="s">
        <v>2</v>
      </c>
      <c r="C6" s="21">
        <v>12.4</v>
      </c>
      <c r="D6" s="21">
        <v>12.4</v>
      </c>
      <c r="E6" s="21">
        <v>12.4</v>
      </c>
      <c r="F6" s="21">
        <v>11.8</v>
      </c>
      <c r="G6" s="21">
        <v>11.2</v>
      </c>
      <c r="H6" s="21">
        <v>11.1</v>
      </c>
      <c r="I6" s="21">
        <v>11.5</v>
      </c>
      <c r="J6" s="153">
        <v>11.6</v>
      </c>
    </row>
    <row r="7" spans="2:13" x14ac:dyDescent="0.25">
      <c r="B7" s="2" t="s">
        <v>3</v>
      </c>
      <c r="C7" s="21">
        <v>7.6</v>
      </c>
      <c r="D7" s="106">
        <v>7</v>
      </c>
      <c r="E7" s="21">
        <v>7.2</v>
      </c>
      <c r="F7" s="21">
        <v>6.8</v>
      </c>
      <c r="G7" s="106">
        <v>7</v>
      </c>
      <c r="H7" s="106">
        <v>7.9</v>
      </c>
      <c r="I7" s="106">
        <v>7.3</v>
      </c>
      <c r="J7" s="106">
        <v>8.6</v>
      </c>
      <c r="K7" s="176"/>
      <c r="L7" s="143"/>
      <c r="M7" s="143"/>
    </row>
    <row r="8" spans="2:13" x14ac:dyDescent="0.25">
      <c r="B8" s="2" t="s">
        <v>4</v>
      </c>
      <c r="C8" s="21">
        <v>6.3</v>
      </c>
      <c r="D8" s="21">
        <v>6.3</v>
      </c>
      <c r="E8" s="21">
        <v>6.2</v>
      </c>
      <c r="F8" s="21">
        <v>6.5</v>
      </c>
      <c r="G8" s="2">
        <v>6.6</v>
      </c>
      <c r="H8" s="2">
        <v>6.5</v>
      </c>
      <c r="I8" s="62">
        <v>6.8</v>
      </c>
      <c r="J8" s="38">
        <v>7.2</v>
      </c>
      <c r="M8" s="136"/>
    </row>
    <row r="9" spans="2:13" x14ac:dyDescent="0.25">
      <c r="B9" s="2" t="s">
        <v>5</v>
      </c>
      <c r="C9" s="62">
        <f>252.4/30</f>
        <v>8.413333333333334</v>
      </c>
      <c r="D9" s="2">
        <v>8.3000000000000007</v>
      </c>
      <c r="E9" s="2">
        <v>8.6999999999999993</v>
      </c>
      <c r="F9" s="2">
        <v>8.9</v>
      </c>
      <c r="G9" s="21">
        <v>9.9</v>
      </c>
      <c r="H9" s="21">
        <v>10.9</v>
      </c>
      <c r="I9" s="50">
        <v>11.7</v>
      </c>
      <c r="J9" s="21">
        <v>12.3</v>
      </c>
      <c r="M9" s="136"/>
    </row>
    <row r="10" spans="2:13" x14ac:dyDescent="0.25">
      <c r="B10" s="2"/>
      <c r="M10" s="136"/>
    </row>
    <row r="11" spans="2:13" x14ac:dyDescent="0.25">
      <c r="B11" s="41"/>
      <c r="C11" s="22"/>
      <c r="D11" s="22"/>
      <c r="E11" s="22"/>
      <c r="F11" s="22"/>
      <c r="G11" s="22"/>
      <c r="H11" s="22"/>
      <c r="M11" s="136"/>
    </row>
    <row r="12" spans="2:13" x14ac:dyDescent="0.25">
      <c r="B12" s="17" t="s">
        <v>249</v>
      </c>
      <c r="M12" s="136"/>
    </row>
    <row r="13" spans="2:13" x14ac:dyDescent="0.25">
      <c r="B13" s="16" t="s">
        <v>250</v>
      </c>
      <c r="M13" s="136"/>
    </row>
    <row r="14" spans="2:13" x14ac:dyDescent="0.25">
      <c r="B14" s="16" t="s">
        <v>251</v>
      </c>
    </row>
    <row r="19" spans="3:10" x14ac:dyDescent="0.25">
      <c r="C19" s="181"/>
      <c r="D19" s="181"/>
      <c r="E19" s="181"/>
      <c r="F19" s="181"/>
      <c r="G19" s="181"/>
      <c r="H19" s="181"/>
      <c r="I19" s="181"/>
      <c r="J19" s="181"/>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28"/>
  <sheetViews>
    <sheetView zoomScaleNormal="100" workbookViewId="0">
      <selection activeCell="B2" sqref="B2"/>
    </sheetView>
  </sheetViews>
  <sheetFormatPr defaultColWidth="9" defaultRowHeight="14.25" x14ac:dyDescent="0.2"/>
  <cols>
    <col min="1" max="1" width="4.125" customWidth="1"/>
    <col min="2" max="2" width="100.125" customWidth="1"/>
  </cols>
  <sheetData>
    <row r="1" spans="2:2" ht="18" x14ac:dyDescent="0.2">
      <c r="B1" s="83" t="s">
        <v>155</v>
      </c>
    </row>
    <row r="3" spans="2:2" ht="15.75" x14ac:dyDescent="0.2">
      <c r="B3" s="70" t="s">
        <v>156</v>
      </c>
    </row>
    <row r="4" spans="2:2" ht="15.75" x14ac:dyDescent="0.2">
      <c r="B4" s="79" t="s">
        <v>157</v>
      </c>
    </row>
    <row r="5" spans="2:2" ht="15.75" x14ac:dyDescent="0.2">
      <c r="B5" s="79"/>
    </row>
    <row r="6" spans="2:2" ht="15.75" x14ac:dyDescent="0.2">
      <c r="B6" s="82" t="s">
        <v>158</v>
      </c>
    </row>
    <row r="7" spans="2:2" ht="31.5" x14ac:dyDescent="0.2">
      <c r="B7" s="79" t="s">
        <v>159</v>
      </c>
    </row>
    <row r="8" spans="2:2" ht="47.25" x14ac:dyDescent="0.2">
      <c r="B8" s="79" t="s">
        <v>331</v>
      </c>
    </row>
    <row r="9" spans="2:2" ht="31.5" x14ac:dyDescent="0.2">
      <c r="B9" s="79" t="s">
        <v>160</v>
      </c>
    </row>
    <row r="10" spans="2:2" ht="15.75" x14ac:dyDescent="0.2">
      <c r="B10" s="79"/>
    </row>
    <row r="11" spans="2:2" ht="15.75" x14ac:dyDescent="0.2">
      <c r="B11" s="82" t="s">
        <v>91</v>
      </c>
    </row>
    <row r="12" spans="2:2" ht="78.75" x14ac:dyDescent="0.2">
      <c r="B12" s="79" t="s">
        <v>361</v>
      </c>
    </row>
    <row r="13" spans="2:2" ht="15.75" x14ac:dyDescent="0.2">
      <c r="B13" s="79"/>
    </row>
    <row r="14" spans="2:2" ht="15.75" x14ac:dyDescent="0.2">
      <c r="B14" s="82" t="s">
        <v>9</v>
      </c>
    </row>
    <row r="15" spans="2:2" ht="47.25" x14ac:dyDescent="0.2">
      <c r="B15" s="79" t="s">
        <v>161</v>
      </c>
    </row>
    <row r="16" spans="2:2" ht="15.75" x14ac:dyDescent="0.2">
      <c r="B16" s="79"/>
    </row>
    <row r="17" spans="2:2" ht="15.75" x14ac:dyDescent="0.2">
      <c r="B17" s="82" t="s">
        <v>162</v>
      </c>
    </row>
    <row r="18" spans="2:2" ht="31.5" x14ac:dyDescent="0.2">
      <c r="B18" s="79" t="s">
        <v>313</v>
      </c>
    </row>
    <row r="19" spans="2:2" ht="15.75" x14ac:dyDescent="0.2">
      <c r="B19" s="79"/>
    </row>
    <row r="20" spans="2:2" ht="15.75" x14ac:dyDescent="0.2">
      <c r="B20" s="82" t="s">
        <v>163</v>
      </c>
    </row>
    <row r="21" spans="2:2" ht="78.75" x14ac:dyDescent="0.2">
      <c r="B21" s="79" t="s">
        <v>314</v>
      </c>
    </row>
    <row r="22" spans="2:2" ht="47.25" x14ac:dyDescent="0.2">
      <c r="B22" s="79" t="s">
        <v>164</v>
      </c>
    </row>
    <row r="23" spans="2:2" ht="126" x14ac:dyDescent="0.2">
      <c r="B23" s="79" t="s">
        <v>383</v>
      </c>
    </row>
    <row r="24" spans="2:2" ht="94.5" x14ac:dyDescent="0.2">
      <c r="B24" s="79" t="s">
        <v>382</v>
      </c>
    </row>
    <row r="25" spans="2:2" ht="47.25" x14ac:dyDescent="0.2">
      <c r="B25" s="79" t="s">
        <v>381</v>
      </c>
    </row>
    <row r="26" spans="2:2" ht="47.25" x14ac:dyDescent="0.2">
      <c r="B26" s="79" t="s">
        <v>165</v>
      </c>
    </row>
    <row r="27" spans="2:2" ht="15.75" x14ac:dyDescent="0.2">
      <c r="B27" s="79"/>
    </row>
    <row r="28" spans="2:2" ht="15.75" x14ac:dyDescent="0.2">
      <c r="B28" s="82" t="s">
        <v>166</v>
      </c>
    </row>
    <row r="29" spans="2:2" ht="31.5" x14ac:dyDescent="0.2">
      <c r="B29" s="79" t="s">
        <v>167</v>
      </c>
    </row>
    <row r="30" spans="2:2" ht="15.75" x14ac:dyDescent="0.2">
      <c r="B30" s="79"/>
    </row>
    <row r="31" spans="2:2" ht="15.75" x14ac:dyDescent="0.2">
      <c r="B31" s="82" t="s">
        <v>168</v>
      </c>
    </row>
    <row r="32" spans="2:2" ht="31.5" x14ac:dyDescent="0.2">
      <c r="B32" s="79" t="s">
        <v>169</v>
      </c>
    </row>
    <row r="33" spans="2:2" ht="15.75" x14ac:dyDescent="0.2">
      <c r="B33" s="79"/>
    </row>
    <row r="34" spans="2:2" ht="15.75" x14ac:dyDescent="0.2">
      <c r="B34" s="82" t="s">
        <v>170</v>
      </c>
    </row>
    <row r="35" spans="2:2" ht="78.75" x14ac:dyDescent="0.2">
      <c r="B35" s="79" t="s">
        <v>171</v>
      </c>
    </row>
    <row r="36" spans="2:2" ht="15.75" x14ac:dyDescent="0.2">
      <c r="B36" s="79"/>
    </row>
    <row r="37" spans="2:2" ht="15.75" x14ac:dyDescent="0.2">
      <c r="B37" s="82" t="s">
        <v>172</v>
      </c>
    </row>
    <row r="38" spans="2:2" ht="31.5" x14ac:dyDescent="0.2">
      <c r="B38" s="79" t="s">
        <v>173</v>
      </c>
    </row>
    <row r="39" spans="2:2" ht="15.75" x14ac:dyDescent="0.2">
      <c r="B39" s="79"/>
    </row>
    <row r="40" spans="2:2" ht="15.75" x14ac:dyDescent="0.2">
      <c r="B40" s="82" t="s">
        <v>174</v>
      </c>
    </row>
    <row r="41" spans="2:2" ht="63" x14ac:dyDescent="0.2">
      <c r="B41" s="79" t="s">
        <v>175</v>
      </c>
    </row>
    <row r="42" spans="2:2" ht="15.75" x14ac:dyDescent="0.2">
      <c r="B42" s="79"/>
    </row>
    <row r="43" spans="2:2" ht="15.75" x14ac:dyDescent="0.2">
      <c r="B43" s="82" t="s">
        <v>176</v>
      </c>
    </row>
    <row r="44" spans="2:2" ht="47.25" x14ac:dyDescent="0.2">
      <c r="B44" s="79" t="s">
        <v>177</v>
      </c>
    </row>
    <row r="45" spans="2:2" ht="15.75" x14ac:dyDescent="0.2">
      <c r="B45" s="79"/>
    </row>
    <row r="46" spans="2:2" ht="15.75" x14ac:dyDescent="0.2">
      <c r="B46" s="82" t="s">
        <v>178</v>
      </c>
    </row>
    <row r="47" spans="2:2" ht="63" x14ac:dyDescent="0.2">
      <c r="B47" s="79" t="s">
        <v>179</v>
      </c>
    </row>
    <row r="48" spans="2:2" ht="15.75" x14ac:dyDescent="0.2">
      <c r="B48" s="79"/>
    </row>
    <row r="49" spans="2:7" ht="15.75" x14ac:dyDescent="0.2">
      <c r="B49" s="82" t="s">
        <v>180</v>
      </c>
    </row>
    <row r="50" spans="2:7" ht="47.25" x14ac:dyDescent="0.2">
      <c r="B50" s="79" t="s">
        <v>181</v>
      </c>
    </row>
    <row r="51" spans="2:7" ht="15.75" x14ac:dyDescent="0.2">
      <c r="B51" s="79"/>
    </row>
    <row r="52" spans="2:7" ht="15.75" x14ac:dyDescent="0.2">
      <c r="B52" s="82" t="s">
        <v>182</v>
      </c>
    </row>
    <row r="53" spans="2:7" ht="31.5" x14ac:dyDescent="0.2">
      <c r="B53" s="79" t="s">
        <v>183</v>
      </c>
    </row>
    <row r="54" spans="2:7" ht="94.5" x14ac:dyDescent="0.2">
      <c r="B54" s="79" t="s">
        <v>330</v>
      </c>
    </row>
    <row r="55" spans="2:7" ht="15.75" x14ac:dyDescent="0.2">
      <c r="B55" s="79"/>
    </row>
    <row r="56" spans="2:7" ht="15.75" x14ac:dyDescent="0.2">
      <c r="B56" s="82" t="s">
        <v>184</v>
      </c>
    </row>
    <row r="57" spans="2:7" ht="47.25" x14ac:dyDescent="0.2">
      <c r="B57" s="79" t="s">
        <v>185</v>
      </c>
    </row>
    <row r="58" spans="2:7" ht="47.25" x14ac:dyDescent="0.2">
      <c r="B58" s="79" t="s">
        <v>346</v>
      </c>
    </row>
    <row r="59" spans="2:7" ht="15.75" x14ac:dyDescent="0.2">
      <c r="B59" s="79" t="s">
        <v>186</v>
      </c>
    </row>
    <row r="60" spans="2:7" ht="15.75" x14ac:dyDescent="0.2">
      <c r="B60" s="71"/>
    </row>
    <row r="61" spans="2:7" ht="16.5" thickBot="1" x14ac:dyDescent="0.25">
      <c r="B61" s="72" t="s">
        <v>187</v>
      </c>
    </row>
    <row r="62" spans="2:7" ht="32.25" thickBot="1" x14ac:dyDescent="0.25">
      <c r="B62" s="73" t="s">
        <v>188</v>
      </c>
      <c r="C62" s="74" t="s">
        <v>1</v>
      </c>
      <c r="D62" s="75" t="s">
        <v>2</v>
      </c>
      <c r="E62" s="74" t="s">
        <v>3</v>
      </c>
      <c r="F62" s="75" t="s">
        <v>4</v>
      </c>
      <c r="G62" s="74" t="s">
        <v>5</v>
      </c>
    </row>
    <row r="63" spans="2:7" ht="16.5" thickBot="1" x14ac:dyDescent="0.25">
      <c r="B63" s="76" t="s">
        <v>189</v>
      </c>
      <c r="C63" s="77" t="s">
        <v>190</v>
      </c>
      <c r="D63" s="78" t="s">
        <v>192</v>
      </c>
      <c r="E63" s="77" t="s">
        <v>192</v>
      </c>
      <c r="F63" s="78" t="s">
        <v>192</v>
      </c>
      <c r="G63" s="77" t="s">
        <v>190</v>
      </c>
    </row>
    <row r="64" spans="2:7" ht="16.5" thickBot="1" x14ac:dyDescent="0.25">
      <c r="B64" s="76" t="s">
        <v>193</v>
      </c>
      <c r="C64" s="77" t="s">
        <v>190</v>
      </c>
      <c r="D64" s="78" t="s">
        <v>192</v>
      </c>
      <c r="E64" s="77" t="s">
        <v>192</v>
      </c>
      <c r="F64" s="78" t="s">
        <v>192</v>
      </c>
      <c r="G64" s="77" t="s">
        <v>190</v>
      </c>
    </row>
    <row r="65" spans="2:7" ht="16.5" thickBot="1" x14ac:dyDescent="0.25">
      <c r="B65" s="76" t="s">
        <v>194</v>
      </c>
      <c r="C65" s="77" t="s">
        <v>190</v>
      </c>
      <c r="D65" s="78" t="s">
        <v>192</v>
      </c>
      <c r="E65" s="77" t="s">
        <v>192</v>
      </c>
      <c r="F65" s="78" t="s">
        <v>192</v>
      </c>
      <c r="G65" s="77" t="s">
        <v>190</v>
      </c>
    </row>
    <row r="66" spans="2:7" ht="16.5" thickBot="1" x14ac:dyDescent="0.25">
      <c r="B66" s="76" t="s">
        <v>195</v>
      </c>
      <c r="C66" s="77" t="s">
        <v>190</v>
      </c>
      <c r="D66" s="78" t="s">
        <v>190</v>
      </c>
      <c r="E66" s="77" t="s">
        <v>192</v>
      </c>
      <c r="F66" s="78" t="s">
        <v>192</v>
      </c>
      <c r="G66" s="77" t="s">
        <v>190</v>
      </c>
    </row>
    <row r="67" spans="2:7" ht="16.5" thickBot="1" x14ac:dyDescent="0.25">
      <c r="B67" s="76" t="s">
        <v>196</v>
      </c>
      <c r="C67" s="77" t="s">
        <v>190</v>
      </c>
      <c r="D67" s="78" t="s">
        <v>192</v>
      </c>
      <c r="E67" s="77" t="s">
        <v>192</v>
      </c>
      <c r="F67" s="78" t="s">
        <v>192</v>
      </c>
      <c r="G67" s="77" t="s">
        <v>192</v>
      </c>
    </row>
    <row r="68" spans="2:7" ht="16.5" thickBot="1" x14ac:dyDescent="0.25">
      <c r="B68" s="76" t="s">
        <v>197</v>
      </c>
      <c r="C68" s="77" t="s">
        <v>190</v>
      </c>
      <c r="D68" s="78" t="s">
        <v>192</v>
      </c>
      <c r="E68" s="77" t="s">
        <v>192</v>
      </c>
      <c r="F68" s="78" t="s">
        <v>192</v>
      </c>
      <c r="G68" s="77" t="s">
        <v>190</v>
      </c>
    </row>
    <row r="69" spans="2:7" ht="16.5" thickBot="1" x14ac:dyDescent="0.25">
      <c r="B69" s="76" t="s">
        <v>198</v>
      </c>
      <c r="C69" s="77" t="s">
        <v>192</v>
      </c>
      <c r="D69" s="78" t="s">
        <v>191</v>
      </c>
      <c r="E69" s="77" t="s">
        <v>191</v>
      </c>
      <c r="F69" s="78" t="s">
        <v>190</v>
      </c>
      <c r="G69" s="77" t="s">
        <v>191</v>
      </c>
    </row>
    <row r="70" spans="2:7" ht="15.75" x14ac:dyDescent="0.2">
      <c r="B70" s="80" t="s">
        <v>199</v>
      </c>
      <c r="C70" s="187" t="s">
        <v>191</v>
      </c>
      <c r="D70" s="189" t="s">
        <v>191</v>
      </c>
      <c r="E70" s="187" t="s">
        <v>191</v>
      </c>
      <c r="F70" s="189" t="s">
        <v>191</v>
      </c>
      <c r="G70" s="187" t="s">
        <v>191</v>
      </c>
    </row>
    <row r="71" spans="2:7" ht="16.5" thickBot="1" x14ac:dyDescent="0.25">
      <c r="B71" s="76" t="s">
        <v>200</v>
      </c>
      <c r="C71" s="188"/>
      <c r="D71" s="190"/>
      <c r="E71" s="188"/>
      <c r="F71" s="190"/>
      <c r="G71" s="188"/>
    </row>
    <row r="72" spans="2:7" ht="16.5" thickBot="1" x14ac:dyDescent="0.25">
      <c r="B72" s="76" t="s">
        <v>201</v>
      </c>
      <c r="C72" s="77" t="s">
        <v>191</v>
      </c>
      <c r="D72" s="78" t="s">
        <v>191</v>
      </c>
      <c r="E72" s="77" t="s">
        <v>191</v>
      </c>
      <c r="F72" s="78" t="s">
        <v>191</v>
      </c>
      <c r="G72" s="77" t="s">
        <v>190</v>
      </c>
    </row>
    <row r="73" spans="2:7" ht="15.75" x14ac:dyDescent="0.2">
      <c r="B73" s="84"/>
      <c r="C73" s="85"/>
      <c r="D73" s="85"/>
      <c r="E73" s="85"/>
      <c r="F73" s="85"/>
      <c r="G73" s="85"/>
    </row>
    <row r="74" spans="2:7" ht="15.75" x14ac:dyDescent="0.2">
      <c r="B74" s="82" t="s">
        <v>202</v>
      </c>
    </row>
    <row r="75" spans="2:7" ht="15.75" x14ac:dyDescent="0.2">
      <c r="B75" s="79" t="s">
        <v>203</v>
      </c>
    </row>
    <row r="76" spans="2:7" ht="15.75" x14ac:dyDescent="0.2">
      <c r="B76" s="79"/>
    </row>
    <row r="77" spans="2:7" ht="15.75" x14ac:dyDescent="0.2">
      <c r="B77" s="82" t="s">
        <v>204</v>
      </c>
    </row>
    <row r="78" spans="2:7" ht="31.5" x14ac:dyDescent="0.2">
      <c r="B78" s="79" t="s">
        <v>205</v>
      </c>
    </row>
    <row r="79" spans="2:7" ht="15.75" x14ac:dyDescent="0.2">
      <c r="B79" s="79"/>
    </row>
    <row r="80" spans="2:7" ht="15.75" x14ac:dyDescent="0.2">
      <c r="B80" s="82" t="s">
        <v>206</v>
      </c>
    </row>
    <row r="81" spans="2:2" ht="31.5" x14ac:dyDescent="0.2">
      <c r="B81" s="79" t="s">
        <v>207</v>
      </c>
    </row>
    <row r="82" spans="2:2" ht="15.75" x14ac:dyDescent="0.2">
      <c r="B82" s="79"/>
    </row>
    <row r="83" spans="2:2" ht="15.75" x14ac:dyDescent="0.2">
      <c r="B83" s="82" t="s">
        <v>208</v>
      </c>
    </row>
    <row r="84" spans="2:2" ht="31.5" x14ac:dyDescent="0.2">
      <c r="B84" s="79" t="s">
        <v>209</v>
      </c>
    </row>
    <row r="85" spans="2:2" ht="94.5" x14ac:dyDescent="0.2">
      <c r="B85" s="163" t="s">
        <v>329</v>
      </c>
    </row>
    <row r="86" spans="2:2" ht="15.75" x14ac:dyDescent="0.2">
      <c r="B86" s="79"/>
    </row>
    <row r="87" spans="2:2" ht="15.75" x14ac:dyDescent="0.2">
      <c r="B87" s="82" t="s">
        <v>210</v>
      </c>
    </row>
    <row r="88" spans="2:2" ht="63" x14ac:dyDescent="0.2">
      <c r="B88" s="79" t="s">
        <v>211</v>
      </c>
    </row>
    <row r="89" spans="2:2" ht="15.75" x14ac:dyDescent="0.2">
      <c r="B89" s="79"/>
    </row>
    <row r="90" spans="2:2" ht="15.75" x14ac:dyDescent="0.2">
      <c r="B90" s="82" t="s">
        <v>212</v>
      </c>
    </row>
    <row r="91" spans="2:2" ht="63" x14ac:dyDescent="0.2">
      <c r="B91" s="79" t="s">
        <v>357</v>
      </c>
    </row>
    <row r="92" spans="2:2" ht="15.75" x14ac:dyDescent="0.2">
      <c r="B92" s="79"/>
    </row>
    <row r="93" spans="2:2" ht="15.75" x14ac:dyDescent="0.2">
      <c r="B93" s="82" t="s">
        <v>82</v>
      </c>
    </row>
    <row r="94" spans="2:2" ht="15.75" x14ac:dyDescent="0.2">
      <c r="B94" s="79" t="s">
        <v>213</v>
      </c>
    </row>
    <row r="95" spans="2:2" ht="15.75" x14ac:dyDescent="0.2">
      <c r="B95" s="79"/>
    </row>
    <row r="96" spans="2:2" ht="15.75" x14ac:dyDescent="0.2">
      <c r="B96" s="82" t="s">
        <v>214</v>
      </c>
    </row>
    <row r="97" spans="2:2" ht="31.5" x14ac:dyDescent="0.2">
      <c r="B97" s="79" t="s">
        <v>215</v>
      </c>
    </row>
    <row r="98" spans="2:2" ht="15.75" x14ac:dyDescent="0.2">
      <c r="B98" s="79"/>
    </row>
    <row r="99" spans="2:2" ht="15.75" x14ac:dyDescent="0.2">
      <c r="B99" s="82" t="s">
        <v>216</v>
      </c>
    </row>
    <row r="100" spans="2:2" ht="31.5" x14ac:dyDescent="0.2">
      <c r="B100" s="79" t="s">
        <v>217</v>
      </c>
    </row>
    <row r="101" spans="2:2" ht="15.75" x14ac:dyDescent="0.2">
      <c r="B101" s="79"/>
    </row>
    <row r="102" spans="2:2" ht="15.75" x14ac:dyDescent="0.2">
      <c r="B102" s="82" t="s">
        <v>218</v>
      </c>
    </row>
    <row r="103" spans="2:2" ht="15.75" x14ac:dyDescent="0.2">
      <c r="B103" s="79" t="s">
        <v>219</v>
      </c>
    </row>
    <row r="104" spans="2:2" ht="15.75" x14ac:dyDescent="0.2">
      <c r="B104" s="79"/>
    </row>
    <row r="105" spans="2:2" ht="15.75" x14ac:dyDescent="0.2">
      <c r="B105" s="82" t="s">
        <v>220</v>
      </c>
    </row>
    <row r="106" spans="2:2" ht="94.5" x14ac:dyDescent="0.2">
      <c r="B106" s="79" t="s">
        <v>323</v>
      </c>
    </row>
    <row r="107" spans="2:2" ht="15.75" x14ac:dyDescent="0.2">
      <c r="B107" s="79"/>
    </row>
    <row r="108" spans="2:2" ht="15.75" x14ac:dyDescent="0.2">
      <c r="B108" s="82" t="s">
        <v>221</v>
      </c>
    </row>
    <row r="109" spans="2:2" ht="63" x14ac:dyDescent="0.2">
      <c r="B109" s="79" t="s">
        <v>222</v>
      </c>
    </row>
    <row r="110" spans="2:2" ht="63" x14ac:dyDescent="0.2">
      <c r="B110" s="79" t="s">
        <v>223</v>
      </c>
    </row>
    <row r="111" spans="2:2" ht="15.75" x14ac:dyDescent="0.2">
      <c r="B111" s="79"/>
    </row>
    <row r="112" spans="2:2" ht="15.75" x14ac:dyDescent="0.2">
      <c r="B112" s="82" t="s">
        <v>224</v>
      </c>
    </row>
    <row r="113" spans="1:3" ht="47.25" x14ac:dyDescent="0.2">
      <c r="B113" s="79" t="s">
        <v>225</v>
      </c>
    </row>
    <row r="114" spans="1:3" ht="15.75" x14ac:dyDescent="0.2">
      <c r="B114" s="79"/>
    </row>
    <row r="115" spans="1:3" ht="15.75" x14ac:dyDescent="0.2">
      <c r="B115" s="82" t="s">
        <v>226</v>
      </c>
    </row>
    <row r="116" spans="1:3" ht="47.25" x14ac:dyDescent="0.2">
      <c r="B116" s="79" t="s">
        <v>227</v>
      </c>
    </row>
    <row r="117" spans="1:3" ht="63" x14ac:dyDescent="0.2">
      <c r="B117" s="79" t="s">
        <v>228</v>
      </c>
    </row>
    <row r="118" spans="1:3" ht="94.5" x14ac:dyDescent="0.2">
      <c r="B118" s="79" t="s">
        <v>229</v>
      </c>
    </row>
    <row r="119" spans="1:3" ht="15.75" x14ac:dyDescent="0.2">
      <c r="B119" s="79"/>
    </row>
    <row r="120" spans="1:3" ht="15.75" x14ac:dyDescent="0.2">
      <c r="B120" s="82" t="s">
        <v>66</v>
      </c>
    </row>
    <row r="121" spans="1:3" ht="15.75" x14ac:dyDescent="0.2">
      <c r="B121" s="79" t="s">
        <v>230</v>
      </c>
    </row>
    <row r="122" spans="1:3" ht="15.75" x14ac:dyDescent="0.2">
      <c r="B122" s="79"/>
    </row>
    <row r="123" spans="1:3" ht="15.75" x14ac:dyDescent="0.2">
      <c r="B123" s="70" t="s">
        <v>231</v>
      </c>
    </row>
    <row r="124" spans="1:3" ht="15.75" x14ac:dyDescent="0.2">
      <c r="A124" s="86" t="s">
        <v>232</v>
      </c>
      <c r="B124" s="71" t="s">
        <v>233</v>
      </c>
    </row>
    <row r="125" spans="1:3" ht="15.75" x14ac:dyDescent="0.2">
      <c r="A125" s="86">
        <v>0</v>
      </c>
      <c r="B125" s="71" t="s">
        <v>234</v>
      </c>
    </row>
    <row r="126" spans="1:3" ht="15.75" x14ac:dyDescent="0.2">
      <c r="A126" s="86" t="s">
        <v>235</v>
      </c>
      <c r="B126" s="71" t="s">
        <v>236</v>
      </c>
    </row>
    <row r="127" spans="1:3" ht="15.75" x14ac:dyDescent="0.2">
      <c r="A127" s="86" t="s">
        <v>237</v>
      </c>
      <c r="B127" s="71" t="s">
        <v>238</v>
      </c>
    </row>
    <row r="128" spans="1:3" ht="15.75" x14ac:dyDescent="0.2">
      <c r="B128" s="81" t="s">
        <v>239</v>
      </c>
      <c r="C128" s="71"/>
    </row>
  </sheetData>
  <mergeCells count="5">
    <mergeCell ref="C70:C71"/>
    <mergeCell ref="D70:D71"/>
    <mergeCell ref="E70:E71"/>
    <mergeCell ref="F70:F71"/>
    <mergeCell ref="G70:G7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53"/>
  <sheetViews>
    <sheetView topLeftCell="B1"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1" spans="2:13" x14ac:dyDescent="0.25">
      <c r="C1" s="174" t="s">
        <v>369</v>
      </c>
    </row>
    <row r="2" spans="2:13" ht="18.75" x14ac:dyDescent="0.3">
      <c r="B2" s="4" t="s">
        <v>139</v>
      </c>
    </row>
    <row r="3" spans="2:13" ht="18.75" x14ac:dyDescent="0.3">
      <c r="B3" s="4"/>
    </row>
    <row r="4" spans="2:13" ht="18.75" x14ac:dyDescent="0.3">
      <c r="B4" s="18" t="s">
        <v>1</v>
      </c>
      <c r="C4" s="19">
        <v>2014</v>
      </c>
      <c r="D4" s="19">
        <v>2015</v>
      </c>
      <c r="E4" s="19">
        <v>2016</v>
      </c>
      <c r="F4" s="19">
        <v>2017</v>
      </c>
      <c r="G4" s="19">
        <v>2018</v>
      </c>
      <c r="H4" s="19">
        <v>2019</v>
      </c>
      <c r="I4" s="19">
        <v>2020</v>
      </c>
      <c r="J4" s="19">
        <v>2021</v>
      </c>
    </row>
    <row r="5" spans="2:13" x14ac:dyDescent="0.25">
      <c r="B5" s="63" t="s">
        <v>140</v>
      </c>
      <c r="C5" s="13">
        <v>4658565</v>
      </c>
      <c r="D5" s="13">
        <v>4697068</v>
      </c>
      <c r="E5" s="13">
        <v>4746977</v>
      </c>
      <c r="F5" s="13">
        <v>4787201</v>
      </c>
      <c r="G5" s="13">
        <v>4820620</v>
      </c>
      <c r="H5" s="13">
        <v>4848611</v>
      </c>
      <c r="I5" s="13">
        <v>4869645</v>
      </c>
      <c r="J5" s="13">
        <v>4891261</v>
      </c>
    </row>
    <row r="6" spans="2:13" x14ac:dyDescent="0.25">
      <c r="B6" s="64" t="s">
        <v>141</v>
      </c>
      <c r="C6" s="65">
        <v>5627235</v>
      </c>
      <c r="D6" s="65">
        <v>5659715</v>
      </c>
      <c r="E6" s="65">
        <v>5707251</v>
      </c>
      <c r="F6" s="65">
        <v>5748769</v>
      </c>
      <c r="G6" s="65">
        <v>5781190</v>
      </c>
      <c r="H6" s="13">
        <v>5806081</v>
      </c>
      <c r="I6" s="65">
        <v>5822763</v>
      </c>
      <c r="J6" s="65">
        <v>5840045</v>
      </c>
    </row>
    <row r="7" spans="2:13" x14ac:dyDescent="0.25">
      <c r="B7" s="63" t="s">
        <v>138</v>
      </c>
      <c r="C7" s="39">
        <v>430216</v>
      </c>
      <c r="D7" s="13">
        <v>429114</v>
      </c>
      <c r="E7" s="13">
        <v>427953</v>
      </c>
      <c r="F7" s="13">
        <v>423922</v>
      </c>
      <c r="G7" s="13">
        <v>420565</v>
      </c>
      <c r="H7" s="13">
        <v>417235</v>
      </c>
      <c r="I7" s="65">
        <v>415413</v>
      </c>
      <c r="J7" s="65">
        <v>414132</v>
      </c>
    </row>
    <row r="8" spans="2:13" x14ac:dyDescent="0.25">
      <c r="B8" s="47"/>
      <c r="C8" s="22"/>
      <c r="D8" s="22"/>
      <c r="E8" s="22"/>
      <c r="F8" s="22"/>
      <c r="G8" s="22"/>
      <c r="H8" s="22"/>
      <c r="I8" s="151"/>
      <c r="J8" s="151"/>
    </row>
    <row r="9" spans="2:13" x14ac:dyDescent="0.25">
      <c r="B9" s="6"/>
      <c r="J9" s="161"/>
      <c r="M9" s="133"/>
    </row>
    <row r="10" spans="2:13" ht="18.75" x14ac:dyDescent="0.3">
      <c r="B10" s="18" t="s">
        <v>2</v>
      </c>
      <c r="C10" s="19">
        <v>2014</v>
      </c>
      <c r="D10" s="19">
        <v>2015</v>
      </c>
      <c r="E10" s="19">
        <v>2016</v>
      </c>
      <c r="F10" s="19">
        <v>2017</v>
      </c>
      <c r="G10" s="19">
        <v>2018</v>
      </c>
      <c r="H10" s="19">
        <v>2019</v>
      </c>
      <c r="I10" s="19">
        <v>2020</v>
      </c>
      <c r="J10" s="19">
        <v>2021</v>
      </c>
      <c r="M10" s="133"/>
    </row>
    <row r="11" spans="2:13" x14ac:dyDescent="0.25">
      <c r="B11" s="63" t="s">
        <v>140</v>
      </c>
      <c r="C11" s="66">
        <v>4556249</v>
      </c>
      <c r="D11" s="39">
        <v>4575145</v>
      </c>
      <c r="E11" s="39">
        <v>4591285</v>
      </c>
      <c r="F11" s="13">
        <v>4609119</v>
      </c>
      <c r="G11" s="13">
        <v>4622706</v>
      </c>
      <c r="H11" s="13">
        <v>4635685</v>
      </c>
      <c r="I11" s="13">
        <v>4654256</v>
      </c>
      <c r="J11" s="13">
        <v>4672932</v>
      </c>
      <c r="M11" s="133"/>
    </row>
    <row r="12" spans="2:13" x14ac:dyDescent="0.25">
      <c r="B12" s="64" t="s">
        <v>141</v>
      </c>
      <c r="C12" s="13">
        <v>5451270</v>
      </c>
      <c r="D12" s="39">
        <v>5471753</v>
      </c>
      <c r="E12" s="39">
        <v>5487308</v>
      </c>
      <c r="F12" s="39">
        <v>5503297</v>
      </c>
      <c r="G12" s="39">
        <v>5513130</v>
      </c>
      <c r="H12" s="39">
        <v>5517919</v>
      </c>
      <c r="I12" s="39">
        <v>5525292</v>
      </c>
      <c r="J12" s="39">
        <v>5533793</v>
      </c>
    </row>
    <row r="13" spans="2:13" x14ac:dyDescent="0.25">
      <c r="B13" s="63" t="s">
        <v>138</v>
      </c>
      <c r="C13" s="66">
        <v>380304</v>
      </c>
      <c r="D13" s="39">
        <v>373682</v>
      </c>
      <c r="E13" s="39">
        <v>366368</v>
      </c>
      <c r="F13" s="13">
        <v>361739</v>
      </c>
      <c r="G13" s="13">
        <v>357718</v>
      </c>
      <c r="H13" s="13">
        <v>355807</v>
      </c>
      <c r="I13" s="13">
        <v>357467</v>
      </c>
      <c r="J13" s="13">
        <v>358102</v>
      </c>
    </row>
    <row r="14" spans="2:13" x14ac:dyDescent="0.25">
      <c r="B14" s="47"/>
      <c r="J14" s="161"/>
    </row>
    <row r="15" spans="2:13" x14ac:dyDescent="0.25">
      <c r="B15" s="6"/>
      <c r="J15" s="161"/>
    </row>
    <row r="16" spans="2:13" ht="18.75" x14ac:dyDescent="0.3">
      <c r="B16" s="18" t="s">
        <v>3</v>
      </c>
      <c r="C16" s="19">
        <v>2014</v>
      </c>
      <c r="D16" s="19">
        <v>2015</v>
      </c>
      <c r="E16" s="19">
        <v>2016</v>
      </c>
      <c r="F16" s="19">
        <v>2017</v>
      </c>
      <c r="G16" s="19">
        <v>2018</v>
      </c>
      <c r="H16" s="19">
        <v>2019</v>
      </c>
      <c r="I16" s="19">
        <v>2020</v>
      </c>
      <c r="J16" s="19">
        <v>2021</v>
      </c>
    </row>
    <row r="17" spans="2:11" x14ac:dyDescent="0.25">
      <c r="B17" s="63" t="s">
        <v>140</v>
      </c>
      <c r="C17" s="13">
        <v>258862</v>
      </c>
      <c r="D17" s="13">
        <v>262098</v>
      </c>
      <c r="E17" s="13">
        <v>265989</v>
      </c>
      <c r="F17" s="13">
        <v>271533</v>
      </c>
      <c r="G17" s="13">
        <v>281043</v>
      </c>
      <c r="H17" s="13">
        <v>289174</v>
      </c>
      <c r="I17" s="13">
        <v>295915</v>
      </c>
      <c r="J17" s="13">
        <v>299803</v>
      </c>
      <c r="K17" s="133"/>
    </row>
    <row r="18" spans="2:11" x14ac:dyDescent="0.25">
      <c r="B18" s="64" t="s">
        <v>141</v>
      </c>
      <c r="C18" s="39">
        <v>325671</v>
      </c>
      <c r="D18" s="39">
        <v>329100</v>
      </c>
      <c r="E18" s="39">
        <v>332529</v>
      </c>
      <c r="F18" s="39">
        <v>338349</v>
      </c>
      <c r="G18" s="13">
        <v>348450</v>
      </c>
      <c r="H18" s="13">
        <v>356991</v>
      </c>
      <c r="I18" s="13">
        <v>364134</v>
      </c>
      <c r="J18" s="13">
        <v>368792</v>
      </c>
    </row>
    <row r="19" spans="2:11" x14ac:dyDescent="0.25">
      <c r="B19" s="63" t="s">
        <v>138</v>
      </c>
      <c r="C19" s="13">
        <v>27426</v>
      </c>
      <c r="D19" s="13">
        <v>26955</v>
      </c>
      <c r="E19" s="13">
        <v>26778</v>
      </c>
      <c r="F19" s="13">
        <v>26747</v>
      </c>
      <c r="G19" s="13">
        <v>26673</v>
      </c>
      <c r="H19" s="13">
        <v>26723</v>
      </c>
      <c r="I19" s="13">
        <v>26939</v>
      </c>
      <c r="J19" s="13">
        <v>27149</v>
      </c>
    </row>
    <row r="20" spans="2:11" x14ac:dyDescent="0.25">
      <c r="B20" s="47"/>
      <c r="J20" s="161"/>
    </row>
    <row r="21" spans="2:11" x14ac:dyDescent="0.25">
      <c r="B21" s="6"/>
      <c r="J21" s="161"/>
    </row>
    <row r="22" spans="2:11" ht="18.75" x14ac:dyDescent="0.3">
      <c r="B22" s="18" t="s">
        <v>4</v>
      </c>
      <c r="C22" s="19">
        <v>2014</v>
      </c>
      <c r="D22" s="19">
        <v>2015</v>
      </c>
      <c r="E22" s="19">
        <v>2016</v>
      </c>
      <c r="F22" s="19">
        <v>2017</v>
      </c>
      <c r="G22" s="19">
        <v>2018</v>
      </c>
      <c r="H22" s="19">
        <v>2019</v>
      </c>
      <c r="I22" s="19">
        <v>2020</v>
      </c>
      <c r="J22" s="19">
        <v>2021</v>
      </c>
    </row>
    <row r="23" spans="2:11" x14ac:dyDescent="0.25">
      <c r="B23" s="63" t="s">
        <v>140</v>
      </c>
      <c r="C23" s="13">
        <v>4178211</v>
      </c>
      <c r="D23" s="13">
        <v>4233409</v>
      </c>
      <c r="E23" s="13">
        <v>4280030</v>
      </c>
      <c r="F23" s="13">
        <v>4320607</v>
      </c>
      <c r="G23" s="13">
        <v>4356685</v>
      </c>
      <c r="H23" s="13">
        <v>4393254</v>
      </c>
      <c r="I23" s="13">
        <v>4437453</v>
      </c>
      <c r="J23" s="13">
        <v>4469778</v>
      </c>
    </row>
    <row r="24" spans="2:11" x14ac:dyDescent="0.25">
      <c r="B24" s="64" t="s">
        <v>141</v>
      </c>
      <c r="C24" s="13">
        <v>5109056</v>
      </c>
      <c r="D24" s="13">
        <v>5165802</v>
      </c>
      <c r="E24" s="13">
        <v>5213985</v>
      </c>
      <c r="F24" s="13">
        <v>5258317</v>
      </c>
      <c r="G24" s="13">
        <v>5295619</v>
      </c>
      <c r="H24" s="13">
        <v>5328212</v>
      </c>
      <c r="I24" s="13">
        <v>5367580</v>
      </c>
      <c r="J24" s="13">
        <v>5391369</v>
      </c>
    </row>
    <row r="25" spans="2:11" x14ac:dyDescent="0.25">
      <c r="B25" s="63" t="s">
        <v>138</v>
      </c>
      <c r="C25" s="13">
        <v>391841</v>
      </c>
      <c r="D25" s="13">
        <v>392900</v>
      </c>
      <c r="E25" s="13">
        <v>393788</v>
      </c>
      <c r="F25" s="13">
        <v>393058</v>
      </c>
      <c r="G25" s="13">
        <v>388924</v>
      </c>
      <c r="H25" s="13">
        <v>386362</v>
      </c>
      <c r="I25" s="13">
        <v>385435</v>
      </c>
      <c r="J25" s="13">
        <v>382763</v>
      </c>
    </row>
    <row r="26" spans="2:11" x14ac:dyDescent="0.25">
      <c r="B26" s="47"/>
      <c r="J26" s="161"/>
    </row>
    <row r="27" spans="2:11" x14ac:dyDescent="0.25">
      <c r="B27" s="6"/>
      <c r="J27" s="161"/>
    </row>
    <row r="28" spans="2:11" ht="18.75" x14ac:dyDescent="0.3">
      <c r="B28" s="18" t="s">
        <v>5</v>
      </c>
      <c r="C28" s="19">
        <v>2014</v>
      </c>
      <c r="D28" s="19">
        <v>2015</v>
      </c>
      <c r="E28" s="19">
        <v>2016</v>
      </c>
      <c r="F28" s="19">
        <v>2017</v>
      </c>
      <c r="G28" s="19">
        <v>2018</v>
      </c>
      <c r="H28" s="19">
        <v>2019</v>
      </c>
      <c r="I28" s="19">
        <v>2020</v>
      </c>
      <c r="J28" s="19">
        <v>2021</v>
      </c>
    </row>
    <row r="29" spans="2:11" x14ac:dyDescent="0.25">
      <c r="B29" s="63" t="s">
        <v>140</v>
      </c>
      <c r="C29" s="13">
        <v>8065322</v>
      </c>
      <c r="D29" s="13">
        <v>8133874</v>
      </c>
      <c r="E29" s="13">
        <v>8234159</v>
      </c>
      <c r="F29" s="13">
        <v>8325565</v>
      </c>
      <c r="G29" s="13">
        <v>8410456</v>
      </c>
      <c r="H29" s="13">
        <v>8492768</v>
      </c>
      <c r="I29" s="13">
        <v>8541497</v>
      </c>
      <c r="J29" s="13">
        <v>8613223</v>
      </c>
    </row>
    <row r="30" spans="2:11" x14ac:dyDescent="0.25">
      <c r="B30" s="64" t="s">
        <v>141</v>
      </c>
      <c r="C30" s="13">
        <v>9747355</v>
      </c>
      <c r="D30" s="13">
        <v>9851017</v>
      </c>
      <c r="E30" s="13">
        <v>9995153</v>
      </c>
      <c r="F30" s="13">
        <v>10120242</v>
      </c>
      <c r="G30" s="13">
        <v>10230185</v>
      </c>
      <c r="H30" s="13">
        <v>10327589</v>
      </c>
      <c r="I30" s="13">
        <v>10379295</v>
      </c>
      <c r="J30" s="13">
        <v>10452326</v>
      </c>
    </row>
    <row r="31" spans="2:11" x14ac:dyDescent="0.25">
      <c r="B31" s="63" t="s">
        <v>138</v>
      </c>
      <c r="C31" s="13">
        <v>651756</v>
      </c>
      <c r="D31" s="13">
        <v>640082</v>
      </c>
      <c r="E31" s="13">
        <v>641890</v>
      </c>
      <c r="F31" s="13">
        <v>653771</v>
      </c>
      <c r="G31" s="13">
        <v>670586</v>
      </c>
      <c r="H31" s="13">
        <v>685524</v>
      </c>
      <c r="I31" s="13">
        <v>690146</v>
      </c>
      <c r="J31" s="13">
        <v>702802</v>
      </c>
    </row>
    <row r="32" spans="2:11" x14ac:dyDescent="0.25">
      <c r="B32" s="47"/>
      <c r="C32" s="52"/>
      <c r="D32" s="52"/>
      <c r="E32" s="52"/>
      <c r="F32" s="52"/>
      <c r="G32" s="36"/>
      <c r="H32" s="36"/>
    </row>
    <row r="33" spans="2:8" x14ac:dyDescent="0.25">
      <c r="B33" s="47"/>
      <c r="C33" s="52"/>
      <c r="D33" s="52"/>
      <c r="E33" s="52"/>
      <c r="F33" s="49"/>
      <c r="G33" s="37"/>
      <c r="H33" s="37"/>
    </row>
    <row r="34" spans="2:8" x14ac:dyDescent="0.25">
      <c r="B34" s="2"/>
      <c r="C34" s="2"/>
      <c r="D34" s="2"/>
      <c r="E34" s="2"/>
      <c r="F34" s="2"/>
      <c r="G34" s="36"/>
      <c r="H34" s="36"/>
    </row>
    <row r="35" spans="2:8" x14ac:dyDescent="0.25">
      <c r="B35" s="41"/>
      <c r="C35" s="2"/>
      <c r="D35" s="2"/>
      <c r="E35" s="2"/>
      <c r="F35" s="2"/>
      <c r="G35" s="2"/>
      <c r="H35" s="2"/>
    </row>
    <row r="36" spans="2:8" x14ac:dyDescent="0.25">
      <c r="B36" s="47"/>
      <c r="C36" s="2"/>
      <c r="D36" s="2"/>
      <c r="E36" s="2"/>
      <c r="F36" s="2"/>
      <c r="G36" s="2"/>
      <c r="H36" s="2"/>
    </row>
    <row r="37" spans="2:8" x14ac:dyDescent="0.25">
      <c r="B37" s="14"/>
      <c r="C37" s="2"/>
      <c r="D37" s="2"/>
      <c r="E37" s="2"/>
      <c r="F37" s="2"/>
      <c r="G37" s="38"/>
      <c r="H37" s="38"/>
    </row>
    <row r="38" spans="2:8" x14ac:dyDescent="0.25">
      <c r="B38" s="47"/>
      <c r="C38" s="21"/>
      <c r="D38" s="21"/>
      <c r="E38" s="21"/>
      <c r="F38" s="21"/>
      <c r="G38" s="38"/>
      <c r="H38" s="38"/>
    </row>
    <row r="39" spans="2:8" x14ac:dyDescent="0.25">
      <c r="B39" s="47"/>
      <c r="C39" s="21"/>
      <c r="D39" s="21"/>
      <c r="E39" s="21"/>
      <c r="F39" s="21"/>
      <c r="G39" s="38"/>
      <c r="H39" s="38"/>
    </row>
    <row r="40" spans="2:8" x14ac:dyDescent="0.25">
      <c r="B40" s="2"/>
      <c r="C40" s="2"/>
      <c r="D40" s="2"/>
      <c r="E40" s="2"/>
      <c r="F40" s="2"/>
      <c r="G40" s="36"/>
      <c r="H40" s="36"/>
    </row>
    <row r="41" spans="2:8" x14ac:dyDescent="0.25">
      <c r="B41" s="41"/>
      <c r="C41" s="2"/>
      <c r="D41" s="2"/>
      <c r="E41" s="2"/>
      <c r="F41" s="2"/>
      <c r="G41" s="36"/>
      <c r="H41" s="36"/>
    </row>
    <row r="42" spans="2:8" x14ac:dyDescent="0.25">
      <c r="B42" s="47"/>
      <c r="C42" s="2"/>
      <c r="D42" s="2"/>
      <c r="E42" s="2"/>
      <c r="F42" s="2"/>
      <c r="G42" s="38"/>
      <c r="H42" s="38"/>
    </row>
    <row r="43" spans="2:8" x14ac:dyDescent="0.25">
      <c r="B43" s="14"/>
      <c r="C43" s="2"/>
      <c r="D43" s="2"/>
      <c r="E43" s="2"/>
      <c r="F43" s="2"/>
      <c r="G43" s="38"/>
      <c r="H43" s="38"/>
    </row>
    <row r="44" spans="2:8" x14ac:dyDescent="0.25">
      <c r="B44" s="47"/>
      <c r="C44" s="21"/>
      <c r="D44" s="21"/>
      <c r="E44" s="21"/>
      <c r="F44" s="21"/>
      <c r="G44" s="36"/>
      <c r="H44" s="36"/>
    </row>
    <row r="45" spans="2:8" x14ac:dyDescent="0.25">
      <c r="B45" s="47"/>
      <c r="C45" s="21"/>
      <c r="D45" s="21"/>
      <c r="E45" s="50"/>
      <c r="F45" s="50"/>
      <c r="G45" s="36"/>
      <c r="H45" s="36"/>
    </row>
    <row r="46" spans="2:8" x14ac:dyDescent="0.25">
      <c r="B46" s="2"/>
      <c r="C46" s="2"/>
      <c r="D46" s="2"/>
      <c r="E46" s="2"/>
      <c r="F46" s="2"/>
      <c r="G46" s="22"/>
      <c r="H46" s="22"/>
    </row>
    <row r="47" spans="2:8" x14ac:dyDescent="0.25">
      <c r="B47" s="41"/>
      <c r="C47" s="13"/>
      <c r="D47" s="13"/>
      <c r="E47" s="13"/>
      <c r="F47" s="13"/>
      <c r="G47" s="22"/>
      <c r="H47" s="22"/>
    </row>
    <row r="48" spans="2:8" x14ac:dyDescent="0.25">
      <c r="B48" s="9"/>
      <c r="C48" s="22"/>
      <c r="D48" s="22"/>
      <c r="E48" s="22"/>
      <c r="F48" s="22"/>
      <c r="G48" s="22"/>
      <c r="H48" s="22"/>
    </row>
    <row r="49" spans="2:2" x14ac:dyDescent="0.25">
      <c r="B49" s="9"/>
    </row>
    <row r="50" spans="2:2" x14ac:dyDescent="0.25">
      <c r="B50" s="9"/>
    </row>
    <row r="51" spans="2:2" x14ac:dyDescent="0.25">
      <c r="B51" s="10"/>
    </row>
    <row r="52" spans="2:2" x14ac:dyDescent="0.25">
      <c r="B52" s="6"/>
    </row>
    <row r="53" spans="2:2" x14ac:dyDescent="0.25">
      <c r="B5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38"/>
  <sheetViews>
    <sheetView zoomScaleNormal="100" workbookViewId="0">
      <pane ySplit="2" topLeftCell="A135" activePane="bottomLeft" state="frozen"/>
      <selection activeCell="I143" sqref="I143"/>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0</v>
      </c>
    </row>
    <row r="3" spans="2:10" ht="18.75" x14ac:dyDescent="0.3">
      <c r="B3" s="4"/>
      <c r="H3" s="145"/>
    </row>
    <row r="4" spans="2:10" ht="18.75" x14ac:dyDescent="0.3">
      <c r="B4" s="18" t="s">
        <v>32</v>
      </c>
      <c r="C4" s="19">
        <v>2014</v>
      </c>
      <c r="D4" s="19">
        <v>2015</v>
      </c>
      <c r="E4" s="19">
        <v>2016</v>
      </c>
      <c r="F4" s="19">
        <v>2017</v>
      </c>
      <c r="G4" s="19">
        <v>2018</v>
      </c>
      <c r="H4" s="19">
        <v>2019</v>
      </c>
      <c r="I4" s="19">
        <v>2020</v>
      </c>
      <c r="J4" s="19">
        <v>2021</v>
      </c>
    </row>
    <row r="5" spans="2:10" x14ac:dyDescent="0.25">
      <c r="B5" s="25" t="s">
        <v>14</v>
      </c>
      <c r="C5" s="39">
        <v>5250</v>
      </c>
      <c r="D5" s="39">
        <v>4828</v>
      </c>
      <c r="E5" s="94">
        <v>4123</v>
      </c>
      <c r="F5" s="95">
        <v>4029</v>
      </c>
      <c r="G5" s="95">
        <v>4746</v>
      </c>
      <c r="H5" s="95">
        <v>4749</v>
      </c>
      <c r="I5" s="95">
        <v>4093</v>
      </c>
      <c r="J5" s="95">
        <v>4119</v>
      </c>
    </row>
    <row r="6" spans="2:10" x14ac:dyDescent="0.25">
      <c r="B6" s="25" t="s">
        <v>15</v>
      </c>
      <c r="C6" s="39">
        <v>12138</v>
      </c>
      <c r="D6" s="39">
        <v>12627</v>
      </c>
      <c r="E6" s="39">
        <v>11524</v>
      </c>
      <c r="F6" s="13">
        <f>SUM(F8:F18)</f>
        <v>10579</v>
      </c>
      <c r="G6" s="95">
        <v>10035</v>
      </c>
      <c r="H6" s="95">
        <v>9699</v>
      </c>
      <c r="I6" s="95">
        <v>9107</v>
      </c>
      <c r="J6" s="95">
        <v>8820</v>
      </c>
    </row>
    <row r="7" spans="2:10" x14ac:dyDescent="0.25">
      <c r="B7" s="25" t="s">
        <v>16</v>
      </c>
      <c r="C7" s="39"/>
      <c r="D7" s="39"/>
      <c r="E7" s="39"/>
      <c r="F7" s="39"/>
      <c r="G7" s="95"/>
      <c r="H7" s="95"/>
      <c r="I7" s="39"/>
      <c r="J7" s="95"/>
    </row>
    <row r="8" spans="2:10" x14ac:dyDescent="0.25">
      <c r="B8" s="26" t="s">
        <v>20</v>
      </c>
      <c r="C8" s="39">
        <f>787+410+2449</f>
        <v>3646</v>
      </c>
      <c r="D8" s="39">
        <v>4421</v>
      </c>
      <c r="E8" s="39">
        <v>4640</v>
      </c>
      <c r="F8" s="39">
        <f>633+324+3439</f>
        <v>4396</v>
      </c>
      <c r="G8" s="95">
        <v>3831</v>
      </c>
      <c r="H8" s="95">
        <v>3496</v>
      </c>
      <c r="I8" s="95">
        <v>3543</v>
      </c>
      <c r="J8" s="95">
        <v>3121</v>
      </c>
    </row>
    <row r="9" spans="2:10" x14ac:dyDescent="0.25">
      <c r="B9" s="26" t="s">
        <v>21</v>
      </c>
      <c r="C9" s="42"/>
      <c r="D9" s="39"/>
      <c r="E9" s="39"/>
      <c r="F9" s="39"/>
      <c r="G9" s="95"/>
      <c r="H9" s="95"/>
      <c r="I9" s="95"/>
      <c r="J9" s="95"/>
    </row>
    <row r="10" spans="2:10" x14ac:dyDescent="0.25">
      <c r="B10" s="26" t="s">
        <v>22</v>
      </c>
      <c r="C10" s="39">
        <v>2086</v>
      </c>
      <c r="D10" s="39">
        <v>1949</v>
      </c>
      <c r="E10" s="39">
        <v>1775</v>
      </c>
      <c r="F10" s="39">
        <v>1583</v>
      </c>
      <c r="G10" s="95">
        <v>1476</v>
      </c>
      <c r="H10" s="95">
        <v>1502</v>
      </c>
      <c r="I10" s="95">
        <v>1484</v>
      </c>
      <c r="J10" s="95">
        <v>1378</v>
      </c>
    </row>
    <row r="11" spans="2:10" x14ac:dyDescent="0.25">
      <c r="B11" s="26" t="s">
        <v>23</v>
      </c>
      <c r="C11" s="39">
        <v>2185</v>
      </c>
      <c r="D11" s="39">
        <v>1995</v>
      </c>
      <c r="E11" s="39">
        <v>1605</v>
      </c>
      <c r="F11" s="39">
        <v>1483</v>
      </c>
      <c r="G11" s="95">
        <v>1502</v>
      </c>
      <c r="H11" s="95">
        <v>1455</v>
      </c>
      <c r="I11" s="95">
        <v>1417</v>
      </c>
      <c r="J11" s="95">
        <v>1320</v>
      </c>
    </row>
    <row r="12" spans="2:10" x14ac:dyDescent="0.25">
      <c r="B12" s="26" t="s">
        <v>24</v>
      </c>
      <c r="C12" s="39">
        <v>745</v>
      </c>
      <c r="D12" s="39">
        <v>871</v>
      </c>
      <c r="E12" s="39">
        <v>626</v>
      </c>
      <c r="F12" s="39">
        <v>614</v>
      </c>
      <c r="G12" s="95">
        <v>652</v>
      </c>
      <c r="H12" s="95">
        <v>617</v>
      </c>
      <c r="I12" s="95">
        <v>584</v>
      </c>
      <c r="J12" s="95">
        <v>573</v>
      </c>
    </row>
    <row r="13" spans="2:10" ht="26.25" x14ac:dyDescent="0.25">
      <c r="B13" s="8" t="s">
        <v>25</v>
      </c>
      <c r="C13" s="39">
        <v>400</v>
      </c>
      <c r="D13" s="39">
        <v>363</v>
      </c>
      <c r="E13" s="39">
        <v>378</v>
      </c>
      <c r="F13" s="39">
        <v>259</v>
      </c>
      <c r="G13" s="95">
        <v>276</v>
      </c>
      <c r="H13" s="95">
        <v>245</v>
      </c>
      <c r="I13" s="95">
        <v>227</v>
      </c>
      <c r="J13" s="95">
        <v>276</v>
      </c>
    </row>
    <row r="14" spans="2:10" x14ac:dyDescent="0.25">
      <c r="B14" s="5" t="s">
        <v>26</v>
      </c>
      <c r="C14" s="42"/>
      <c r="D14" s="42"/>
      <c r="E14" s="42"/>
      <c r="F14" s="42"/>
      <c r="G14" s="95"/>
      <c r="H14" s="95"/>
      <c r="I14" s="95"/>
      <c r="J14" s="95"/>
    </row>
    <row r="15" spans="2:10" x14ac:dyDescent="0.25">
      <c r="B15" s="5" t="s">
        <v>27</v>
      </c>
      <c r="C15" s="42"/>
      <c r="D15" s="42"/>
      <c r="E15" s="42"/>
      <c r="F15" s="42"/>
      <c r="G15" s="95"/>
      <c r="H15" s="95"/>
      <c r="I15" s="95"/>
      <c r="J15" s="95"/>
    </row>
    <row r="16" spans="2:10" x14ac:dyDescent="0.25">
      <c r="B16" s="5" t="s">
        <v>28</v>
      </c>
      <c r="C16" s="39">
        <v>2872</v>
      </c>
      <c r="D16" s="39">
        <f>2900-87</f>
        <v>2813</v>
      </c>
      <c r="E16" s="39">
        <v>2319</v>
      </c>
      <c r="F16" s="39">
        <v>2088</v>
      </c>
      <c r="G16" s="13">
        <v>2221</v>
      </c>
      <c r="H16" s="13">
        <v>2223</v>
      </c>
      <c r="I16" s="13">
        <v>1692</v>
      </c>
      <c r="J16" s="95">
        <v>1965</v>
      </c>
    </row>
    <row r="17" spans="2:10" x14ac:dyDescent="0.25">
      <c r="B17" s="5" t="s">
        <v>29</v>
      </c>
      <c r="C17" s="42">
        <v>69</v>
      </c>
      <c r="D17" s="42">
        <v>87</v>
      </c>
      <c r="E17" s="42">
        <v>68</v>
      </c>
      <c r="F17" s="39">
        <v>75</v>
      </c>
      <c r="G17" s="2">
        <v>68</v>
      </c>
      <c r="H17" s="2">
        <v>65</v>
      </c>
      <c r="I17" s="2">
        <v>55</v>
      </c>
      <c r="J17" s="95">
        <v>68</v>
      </c>
    </row>
    <row r="18" spans="2:10" x14ac:dyDescent="0.25">
      <c r="B18" s="5" t="s">
        <v>261</v>
      </c>
      <c r="C18" s="42">
        <f>1+13+97+24</f>
        <v>135</v>
      </c>
      <c r="D18" s="42">
        <f>2+13+84+29</f>
        <v>128</v>
      </c>
      <c r="E18" s="42">
        <f>4+11+74+24</f>
        <v>113</v>
      </c>
      <c r="F18" s="42">
        <f>8761-8335-345</f>
        <v>81</v>
      </c>
      <c r="G18" s="2">
        <v>109</v>
      </c>
      <c r="H18" s="2">
        <v>96</v>
      </c>
      <c r="I18" s="2">
        <v>105</v>
      </c>
      <c r="J18" s="95">
        <v>119</v>
      </c>
    </row>
    <row r="19" spans="2:10" x14ac:dyDescent="0.25">
      <c r="B19" s="7"/>
      <c r="C19" s="42"/>
      <c r="D19" s="42"/>
      <c r="E19" s="42"/>
      <c r="F19" s="39"/>
      <c r="G19" s="2"/>
      <c r="H19" s="2"/>
      <c r="I19" s="2"/>
      <c r="J19" s="95"/>
    </row>
    <row r="20" spans="2:10" x14ac:dyDescent="0.25">
      <c r="B20" s="9" t="s">
        <v>17</v>
      </c>
      <c r="C20" s="42"/>
      <c r="D20" s="42"/>
      <c r="E20" s="42"/>
      <c r="F20" s="42"/>
      <c r="G20" s="2"/>
      <c r="H20" s="2"/>
      <c r="I20" s="2"/>
      <c r="J20" s="95"/>
    </row>
    <row r="21" spans="2:10" x14ac:dyDescent="0.25">
      <c r="B21" s="10" t="s">
        <v>30</v>
      </c>
      <c r="C21" s="97">
        <f>C5/Folkmängd!C5*100000</f>
        <v>112.69564769408606</v>
      </c>
      <c r="D21" s="97">
        <f>D5/Folkmängd!D5*100000</f>
        <v>102.78752617590378</v>
      </c>
      <c r="E21" s="97">
        <f>E5/Folkmängd!E5*100000</f>
        <v>86.855276526513606</v>
      </c>
      <c r="F21" s="97">
        <f>F5/Folkmängd!F5*100000</f>
        <v>84.161914237568055</v>
      </c>
      <c r="G21" s="97">
        <f>G5/Folkmängd!G5*100000</f>
        <v>98.452066331716665</v>
      </c>
      <c r="H21" s="97">
        <f>H5/Folkmängd!H5*100000</f>
        <v>97.945576578529412</v>
      </c>
      <c r="I21" s="97">
        <f>I5/Folkmängd!I5*100000</f>
        <v>84.051301480908776</v>
      </c>
      <c r="J21" s="95">
        <f>J5/Folkmängd!J5*100000</f>
        <v>84.211412966922026</v>
      </c>
    </row>
    <row r="22" spans="2:10" x14ac:dyDescent="0.25">
      <c r="B22" s="10" t="s">
        <v>31</v>
      </c>
      <c r="C22" s="97">
        <f>C5/Folkmängd!C6*100000</f>
        <v>93.296263617922477</v>
      </c>
      <c r="D22" s="97">
        <f>D5/Folkmängd!D6*100000</f>
        <v>85.304648732312486</v>
      </c>
      <c r="E22" s="97">
        <f>E5/Folkmängd!E6*100000</f>
        <v>72.241434624129894</v>
      </c>
      <c r="F22" s="97">
        <f>F5/Folkmängd!F6*100000</f>
        <v>70.084569409555328</v>
      </c>
      <c r="G22" s="97">
        <f>G5/Folkmängd!G6*100000</f>
        <v>82.093824973751083</v>
      </c>
      <c r="H22" s="97">
        <f>H5/Folkmängd!H6*100000</f>
        <v>81.793554034123872</v>
      </c>
      <c r="I22" s="97">
        <f>I5/Folkmängd!I6*100000</f>
        <v>70.293089380419573</v>
      </c>
      <c r="J22" s="95">
        <v>70.530278448196881</v>
      </c>
    </row>
    <row r="23" spans="2:10" x14ac:dyDescent="0.25">
      <c r="B23" s="9"/>
      <c r="C23" s="42"/>
      <c r="D23" s="42"/>
      <c r="E23" s="42"/>
      <c r="F23" s="42"/>
      <c r="G23" s="42"/>
      <c r="H23" s="42"/>
      <c r="I23" s="42"/>
      <c r="J23" s="95"/>
    </row>
    <row r="24" spans="2:10" x14ac:dyDescent="0.25">
      <c r="B24" s="9" t="s">
        <v>18</v>
      </c>
      <c r="C24" s="42"/>
      <c r="D24" s="42"/>
      <c r="E24" s="42"/>
      <c r="F24" s="42"/>
      <c r="G24" s="42"/>
      <c r="H24" s="42"/>
      <c r="I24" s="42"/>
      <c r="J24" s="95"/>
    </row>
    <row r="25" spans="2:10" x14ac:dyDescent="0.25">
      <c r="B25" s="10" t="s">
        <v>30</v>
      </c>
      <c r="C25" s="97">
        <f>C6/Folkmängd!C5*100000</f>
        <v>260.55233746872699</v>
      </c>
      <c r="D25" s="97">
        <f>D6/Folkmängd!D5*100000</f>
        <v>268.82727693105574</v>
      </c>
      <c r="E25" s="97">
        <f>E6/Folkmängd!E5*100000</f>
        <v>242.76502708987215</v>
      </c>
      <c r="F25" s="97">
        <f>F6/Folkmängd!F5*100000</f>
        <v>220.98508084369135</v>
      </c>
      <c r="G25" s="97">
        <f>G6/Folkmängd!G5*100000</f>
        <v>208.16824391883202</v>
      </c>
      <c r="H25" s="97">
        <f>H6/Folkmängd!H5*100000</f>
        <v>200.03667029588473</v>
      </c>
      <c r="I25" s="97">
        <f>I6/Folkmängd!I5*100000</f>
        <v>187.0156859483597</v>
      </c>
      <c r="J25" s="95">
        <v>180.32159805007339</v>
      </c>
    </row>
    <row r="26" spans="2:10" x14ac:dyDescent="0.25">
      <c r="B26" s="10" t="s">
        <v>31</v>
      </c>
      <c r="C26" s="97">
        <f>C6/Folkmängd!C6*100000</f>
        <v>215.70096148463679</v>
      </c>
      <c r="D26" s="97">
        <f>D6/Folkmängd!D6*100000</f>
        <v>223.10310678187858</v>
      </c>
      <c r="E26" s="97">
        <f>E6/Folkmängd!E6*100000</f>
        <v>201.91857691207204</v>
      </c>
      <c r="F26" s="97">
        <f>F6/Folkmängd!F6*100000</f>
        <v>184.02200540672274</v>
      </c>
      <c r="G26" s="97">
        <f>G6/Folkmängd!G6*100000</f>
        <v>173.58017985916393</v>
      </c>
      <c r="H26" s="97">
        <f>H6/Folkmängd!H6*100000</f>
        <v>167.04899569950885</v>
      </c>
      <c r="I26" s="97">
        <f>I6/Folkmängd!I6*100000</f>
        <v>156.40341191973639</v>
      </c>
      <c r="J26" s="95">
        <v>151.02623353073477</v>
      </c>
    </row>
    <row r="27" spans="2:10" x14ac:dyDescent="0.25">
      <c r="B27" s="10"/>
    </row>
    <row r="28" spans="2:10" x14ac:dyDescent="0.25">
      <c r="B28" s="93" t="s">
        <v>260</v>
      </c>
    </row>
    <row r="29" spans="2:10" x14ac:dyDescent="0.25">
      <c r="B29" s="93"/>
    </row>
    <row r="30" spans="2:10" x14ac:dyDescent="0.25">
      <c r="B30" s="6"/>
    </row>
    <row r="31" spans="2:10" ht="18.75" x14ac:dyDescent="0.3">
      <c r="B31" s="18" t="s">
        <v>33</v>
      </c>
      <c r="C31" s="19">
        <v>2014</v>
      </c>
      <c r="D31" s="19">
        <v>2015</v>
      </c>
      <c r="E31" s="19">
        <v>2016</v>
      </c>
      <c r="F31" s="19">
        <v>2017</v>
      </c>
      <c r="G31" s="19">
        <v>2018</v>
      </c>
      <c r="H31" s="19">
        <v>2019</v>
      </c>
      <c r="I31" s="19">
        <v>2020</v>
      </c>
      <c r="J31" s="19">
        <v>2021</v>
      </c>
    </row>
    <row r="32" spans="2:10" x14ac:dyDescent="0.25">
      <c r="B32" s="7" t="s">
        <v>14</v>
      </c>
      <c r="C32" s="60">
        <v>3426</v>
      </c>
      <c r="D32" s="60">
        <v>3397</v>
      </c>
      <c r="E32" s="60">
        <v>3372</v>
      </c>
      <c r="F32" s="60">
        <v>3093</v>
      </c>
      <c r="G32" s="60">
        <v>3173</v>
      </c>
      <c r="H32" s="60">
        <v>3216</v>
      </c>
      <c r="I32" s="60">
        <v>2771</v>
      </c>
      <c r="J32" s="60">
        <v>2687</v>
      </c>
    </row>
    <row r="33" spans="2:10" x14ac:dyDescent="0.25">
      <c r="B33" s="7" t="s">
        <v>15</v>
      </c>
      <c r="C33" s="60">
        <f t="shared" ref="C33:H33" si="0">SUM(C35:C45)</f>
        <v>4751</v>
      </c>
      <c r="D33" s="28">
        <f t="shared" si="0"/>
        <v>4814</v>
      </c>
      <c r="E33" s="28">
        <f t="shared" si="0"/>
        <v>4463</v>
      </c>
      <c r="F33" s="28">
        <f t="shared" si="0"/>
        <v>4358</v>
      </c>
      <c r="G33" s="60">
        <f t="shared" si="0"/>
        <v>4461</v>
      </c>
      <c r="H33" s="60">
        <f t="shared" si="0"/>
        <v>4431</v>
      </c>
      <c r="I33" s="60">
        <f>SUM(I35:I45)</f>
        <v>4233</v>
      </c>
      <c r="J33" s="60">
        <f t="shared" ref="J33" si="1">SUM(J35:J45)</f>
        <v>4521</v>
      </c>
    </row>
    <row r="34" spans="2:10" x14ac:dyDescent="0.25">
      <c r="B34" s="7" t="s">
        <v>16</v>
      </c>
      <c r="C34" s="2"/>
      <c r="D34" s="2"/>
      <c r="E34" s="2"/>
      <c r="F34" s="2"/>
      <c r="G34" s="60"/>
      <c r="H34" s="60"/>
      <c r="I34" s="60"/>
      <c r="J34" s="60"/>
    </row>
    <row r="35" spans="2:10" x14ac:dyDescent="0.25">
      <c r="B35" s="5" t="s">
        <v>20</v>
      </c>
      <c r="C35" s="39">
        <v>2359</v>
      </c>
      <c r="D35" s="13">
        <v>2329</v>
      </c>
      <c r="E35" s="13">
        <v>2037</v>
      </c>
      <c r="F35" s="13">
        <v>1938</v>
      </c>
      <c r="G35" s="60">
        <v>2009</v>
      </c>
      <c r="H35" s="60">
        <v>1930</v>
      </c>
      <c r="I35" s="60">
        <v>1752</v>
      </c>
      <c r="J35" s="60">
        <v>2004</v>
      </c>
    </row>
    <row r="36" spans="2:10" x14ac:dyDescent="0.25">
      <c r="B36" s="5" t="s">
        <v>21</v>
      </c>
      <c r="C36" s="2"/>
      <c r="D36" s="2"/>
      <c r="E36" s="2"/>
      <c r="F36" s="2"/>
      <c r="G36" s="60"/>
      <c r="H36" s="60"/>
      <c r="I36" s="60"/>
      <c r="J36" s="60"/>
    </row>
    <row r="37" spans="2:10" x14ac:dyDescent="0.25">
      <c r="B37" s="5" t="s">
        <v>22</v>
      </c>
      <c r="C37" s="13">
        <v>752</v>
      </c>
      <c r="D37" s="13">
        <v>733</v>
      </c>
      <c r="E37" s="13">
        <v>762</v>
      </c>
      <c r="F37" s="13">
        <v>750</v>
      </c>
      <c r="G37" s="60">
        <v>785</v>
      </c>
      <c r="H37" s="60">
        <v>817</v>
      </c>
      <c r="I37" s="60">
        <v>774</v>
      </c>
      <c r="J37" s="60">
        <v>711</v>
      </c>
    </row>
    <row r="38" spans="2:10" x14ac:dyDescent="0.25">
      <c r="B38" s="5" t="s">
        <v>23</v>
      </c>
      <c r="C38" s="2">
        <v>743</v>
      </c>
      <c r="D38" s="2">
        <v>772</v>
      </c>
      <c r="E38" s="2">
        <v>707</v>
      </c>
      <c r="F38" s="2">
        <v>665</v>
      </c>
      <c r="G38" s="60">
        <v>700</v>
      </c>
      <c r="H38" s="60">
        <v>626</v>
      </c>
      <c r="I38" s="60">
        <v>684</v>
      </c>
      <c r="J38" s="60">
        <v>750</v>
      </c>
    </row>
    <row r="39" spans="2:10" x14ac:dyDescent="0.25">
      <c r="B39" s="5" t="s">
        <v>24</v>
      </c>
      <c r="C39" s="2"/>
      <c r="D39" s="2"/>
      <c r="E39" s="2"/>
      <c r="F39" s="2"/>
      <c r="G39" s="2"/>
      <c r="H39" s="2"/>
      <c r="I39" s="2"/>
      <c r="J39" s="2"/>
    </row>
    <row r="40" spans="2:10" ht="26.25" x14ac:dyDescent="0.25">
      <c r="B40" s="8" t="s">
        <v>25</v>
      </c>
      <c r="C40" s="2"/>
      <c r="D40" s="2"/>
      <c r="E40" s="2"/>
      <c r="F40" s="2"/>
      <c r="G40" s="2"/>
      <c r="H40" s="2"/>
      <c r="I40" s="2"/>
      <c r="J40" s="2"/>
    </row>
    <row r="41" spans="2:10" x14ac:dyDescent="0.25">
      <c r="B41" s="5" t="s">
        <v>26</v>
      </c>
      <c r="C41" s="2"/>
      <c r="D41" s="2"/>
      <c r="E41" s="2"/>
      <c r="F41" s="2"/>
      <c r="G41" s="2"/>
      <c r="H41" s="2"/>
      <c r="I41" s="2"/>
      <c r="J41" s="2"/>
    </row>
    <row r="42" spans="2:10" x14ac:dyDescent="0.25">
      <c r="B42" s="5" t="s">
        <v>27</v>
      </c>
      <c r="C42" s="2"/>
      <c r="D42" s="2"/>
      <c r="E42" s="2"/>
      <c r="F42" s="2"/>
      <c r="G42" s="2"/>
      <c r="H42" s="2"/>
      <c r="I42" s="2"/>
      <c r="J42" s="2"/>
    </row>
    <row r="43" spans="2:10" x14ac:dyDescent="0.25">
      <c r="B43" s="5" t="s">
        <v>28</v>
      </c>
      <c r="C43" s="2">
        <v>272</v>
      </c>
      <c r="D43" s="2">
        <v>270</v>
      </c>
      <c r="E43" s="2">
        <v>261</v>
      </c>
      <c r="F43" s="2">
        <v>246</v>
      </c>
      <c r="G43" s="2">
        <v>207</v>
      </c>
      <c r="H43" s="2">
        <v>197</v>
      </c>
      <c r="I43" s="2">
        <v>188</v>
      </c>
      <c r="J43" s="2">
        <v>190</v>
      </c>
    </row>
    <row r="44" spans="2:10" x14ac:dyDescent="0.25">
      <c r="B44" s="5" t="s">
        <v>264</v>
      </c>
      <c r="C44" s="44">
        <v>615</v>
      </c>
      <c r="D44" s="44">
        <v>702</v>
      </c>
      <c r="E44" s="44">
        <v>690</v>
      </c>
      <c r="F44" s="44">
        <v>754</v>
      </c>
      <c r="G44" s="2">
        <v>749</v>
      </c>
      <c r="H44" s="2">
        <v>854</v>
      </c>
      <c r="I44" s="2">
        <v>828</v>
      </c>
      <c r="J44" s="2">
        <v>856</v>
      </c>
    </row>
    <row r="45" spans="2:10" x14ac:dyDescent="0.25">
      <c r="B45" s="5" t="s">
        <v>265</v>
      </c>
      <c r="C45" s="2">
        <v>10</v>
      </c>
      <c r="D45" s="2">
        <v>8</v>
      </c>
      <c r="E45" s="2">
        <v>6</v>
      </c>
      <c r="F45" s="2">
        <v>5</v>
      </c>
      <c r="G45" s="2">
        <v>11</v>
      </c>
      <c r="H45" s="2">
        <v>7</v>
      </c>
      <c r="I45" s="2">
        <v>7</v>
      </c>
      <c r="J45" s="2">
        <v>10</v>
      </c>
    </row>
    <row r="46" spans="2:10" x14ac:dyDescent="0.25">
      <c r="B46" s="7"/>
      <c r="C46" s="2"/>
      <c r="D46" s="2"/>
      <c r="E46" s="2"/>
      <c r="F46" s="2"/>
      <c r="G46" s="2"/>
      <c r="H46" s="2"/>
      <c r="I46" s="2"/>
      <c r="J46" s="2"/>
    </row>
    <row r="47" spans="2:10" x14ac:dyDescent="0.25">
      <c r="B47" s="9" t="s">
        <v>17</v>
      </c>
      <c r="C47" s="2"/>
      <c r="D47" s="2"/>
      <c r="E47" s="2"/>
      <c r="F47" s="2"/>
      <c r="G47" s="2"/>
      <c r="H47" s="2"/>
      <c r="I47" s="2"/>
      <c r="J47" s="2"/>
    </row>
    <row r="48" spans="2:10" x14ac:dyDescent="0.25">
      <c r="B48" s="10" t="s">
        <v>30</v>
      </c>
      <c r="C48" s="112">
        <f>C32/Folkmängd!C11*100000</f>
        <v>75.193432141219674</v>
      </c>
      <c r="D48" s="112">
        <f>D32/Folkmängd!D11*100000</f>
        <v>74.249012872816053</v>
      </c>
      <c r="E48" s="112">
        <f>E32/Folkmängd!E11*100000</f>
        <v>73.443491310166976</v>
      </c>
      <c r="F48" s="112">
        <f>F32/Folkmängd!F11*100000</f>
        <v>67.106099885900107</v>
      </c>
      <c r="G48" s="112">
        <f>G32/Folkmängd!G11*100000</f>
        <v>68.639450572889558</v>
      </c>
      <c r="H48" s="112">
        <f>H32/Folkmängd!H11*100000</f>
        <v>69.374860457515993</v>
      </c>
      <c r="I48" s="112">
        <f>I32/Folkmängd!I11*100000</f>
        <v>59.536905576315526</v>
      </c>
      <c r="J48" s="112">
        <f>J32/Folkmängd!J11*100000</f>
        <v>57.501371729783351</v>
      </c>
    </row>
    <row r="49" spans="2:12" x14ac:dyDescent="0.25">
      <c r="B49" s="10" t="s">
        <v>31</v>
      </c>
      <c r="C49" s="112">
        <f>C32/Folkmängd!C12*100000</f>
        <v>62.847740067910784</v>
      </c>
      <c r="D49" s="112">
        <f>D32/Folkmängd!D12*100000</f>
        <v>62.082480696771214</v>
      </c>
      <c r="E49" s="112">
        <f>E32/Folkmängd!E12*100000</f>
        <v>61.450897234126465</v>
      </c>
      <c r="F49" s="112">
        <f>F32/Folkmängd!F12*100000</f>
        <v>56.202672688753665</v>
      </c>
      <c r="G49" s="112">
        <f>G32/Folkmängd!G12*100000</f>
        <v>57.553513158586867</v>
      </c>
      <c r="H49" s="112">
        <f>H32/Folkmängd!H12*100000</f>
        <v>58.282841774226839</v>
      </c>
      <c r="I49" s="112">
        <f>I32/Folkmängd!I12*100000</f>
        <v>50.151195629117879</v>
      </c>
      <c r="J49" s="112">
        <f>J32/Folkmängd!J12*100000</f>
        <v>48.556207288563201</v>
      </c>
    </row>
    <row r="50" spans="2:12" x14ac:dyDescent="0.25">
      <c r="B50" s="9"/>
      <c r="C50" s="17"/>
      <c r="D50" s="17"/>
      <c r="E50" s="17"/>
      <c r="F50" s="17"/>
      <c r="G50" s="17"/>
      <c r="H50" s="17"/>
      <c r="I50" s="17"/>
      <c r="J50" s="17"/>
    </row>
    <row r="51" spans="2:12" x14ac:dyDescent="0.25">
      <c r="B51" s="9" t="s">
        <v>18</v>
      </c>
      <c r="C51" s="17"/>
      <c r="D51" s="17"/>
      <c r="E51" s="17"/>
      <c r="F51" s="17"/>
      <c r="G51" s="17"/>
      <c r="H51" s="17"/>
      <c r="I51" s="17"/>
      <c r="J51" s="17"/>
    </row>
    <row r="52" spans="2:12" x14ac:dyDescent="0.25">
      <c r="B52" s="10" t="s">
        <v>30</v>
      </c>
      <c r="C52" s="112">
        <f>C33/Folkmängd!C11*100000</f>
        <v>104.27437130850399</v>
      </c>
      <c r="D52" s="112">
        <f>D33/Folkmängd!D11*100000</f>
        <v>105.2207088518506</v>
      </c>
      <c r="E52" s="112">
        <f>E33/Folkmängd!E11*100000</f>
        <v>97.205902051386488</v>
      </c>
      <c r="F52" s="112">
        <f>F33/Folkmängd!F11*100000</f>
        <v>94.551691982784561</v>
      </c>
      <c r="G52" s="112">
        <f>G33/Folkmängd!G11*100000</f>
        <v>96.501919005880978</v>
      </c>
      <c r="H52" s="112">
        <f>H33/Folkmängd!H11*100000</f>
        <v>95.58457919379768</v>
      </c>
      <c r="I52" s="112">
        <f>I33/Folkmängd!I11*100000</f>
        <v>90.949015266886903</v>
      </c>
      <c r="J52" s="112">
        <f>J33/Folkmängd!J11*100000</f>
        <v>96.74867941583571</v>
      </c>
    </row>
    <row r="53" spans="2:12" x14ac:dyDescent="0.25">
      <c r="B53" s="10" t="s">
        <v>31</v>
      </c>
      <c r="C53" s="112">
        <f>C33/Folkmängd!C12*100000</f>
        <v>87.154002645255133</v>
      </c>
      <c r="D53" s="112">
        <f>D33/Folkmängd!D12*100000</f>
        <v>87.979117478438809</v>
      </c>
      <c r="E53" s="112">
        <f>E33/Folkmängd!E12*100000</f>
        <v>81.333141861182199</v>
      </c>
      <c r="F53" s="112">
        <f>F33/Folkmängd!F12*100000</f>
        <v>79.188893494209012</v>
      </c>
      <c r="G53" s="112">
        <f>G33/Folkmängd!G12*100000</f>
        <v>80.915922534023323</v>
      </c>
      <c r="H53" s="112">
        <f>H33/Folkmängd!H12*100000</f>
        <v>80.302012407213653</v>
      </c>
      <c r="I53" s="112">
        <f>I33/Folkmängd!I12*100000</f>
        <v>76.611335654296639</v>
      </c>
      <c r="J53" s="112">
        <f>J33/Folkmängd!J12*100000</f>
        <v>81.698032434534511</v>
      </c>
    </row>
    <row r="54" spans="2:12" x14ac:dyDescent="0.25">
      <c r="B54" s="10"/>
    </row>
    <row r="55" spans="2:12" x14ac:dyDescent="0.25">
      <c r="B55" s="9" t="s">
        <v>262</v>
      </c>
    </row>
    <row r="56" spans="2:12" x14ac:dyDescent="0.25">
      <c r="B56" s="92" t="s">
        <v>263</v>
      </c>
    </row>
    <row r="58" spans="2:12" ht="18.75" x14ac:dyDescent="0.3">
      <c r="B58" s="18" t="s">
        <v>34</v>
      </c>
      <c r="C58" s="19">
        <v>2014</v>
      </c>
      <c r="D58" s="19">
        <v>2015</v>
      </c>
      <c r="E58" s="19">
        <v>2016</v>
      </c>
      <c r="F58" s="19">
        <v>2017</v>
      </c>
      <c r="G58" s="19">
        <v>2018</v>
      </c>
      <c r="H58" s="19">
        <v>2019</v>
      </c>
      <c r="I58" s="19">
        <v>2020</v>
      </c>
      <c r="J58" s="19">
        <v>2021</v>
      </c>
    </row>
    <row r="59" spans="2:12" x14ac:dyDescent="0.25">
      <c r="B59" s="7" t="s">
        <v>14</v>
      </c>
      <c r="C59" s="2">
        <v>186</v>
      </c>
      <c r="D59" s="2">
        <v>183</v>
      </c>
      <c r="E59" s="2">
        <v>153</v>
      </c>
      <c r="F59" s="2">
        <v>174</v>
      </c>
      <c r="G59" s="2">
        <v>163</v>
      </c>
      <c r="H59" s="2">
        <v>202</v>
      </c>
      <c r="I59" s="2">
        <v>160</v>
      </c>
      <c r="J59" s="2">
        <v>159</v>
      </c>
      <c r="L59" s="170"/>
    </row>
    <row r="60" spans="2:12" x14ac:dyDescent="0.25">
      <c r="B60" s="7" t="s">
        <v>15</v>
      </c>
      <c r="C60" s="2">
        <v>331</v>
      </c>
      <c r="D60" s="2">
        <v>340</v>
      </c>
      <c r="E60" s="2">
        <v>328</v>
      </c>
      <c r="F60" s="2">
        <v>263</v>
      </c>
      <c r="G60" s="2">
        <v>362</v>
      </c>
      <c r="H60" s="2">
        <v>382</v>
      </c>
      <c r="I60" s="2">
        <v>332</v>
      </c>
      <c r="J60" s="2">
        <v>419</v>
      </c>
    </row>
    <row r="61" spans="2:12" x14ac:dyDescent="0.25">
      <c r="B61" s="7" t="s">
        <v>16</v>
      </c>
      <c r="C61" s="2"/>
      <c r="D61" s="2"/>
      <c r="E61" s="2"/>
      <c r="F61" s="2"/>
      <c r="G61" s="2"/>
      <c r="H61" s="2"/>
      <c r="I61" s="2"/>
      <c r="J61" s="2"/>
    </row>
    <row r="62" spans="2:12" x14ac:dyDescent="0.25">
      <c r="B62" s="5" t="s">
        <v>266</v>
      </c>
      <c r="C62" s="2">
        <v>244</v>
      </c>
      <c r="D62" s="2">
        <v>254</v>
      </c>
      <c r="E62" s="2">
        <v>253</v>
      </c>
      <c r="F62" s="2">
        <v>197</v>
      </c>
      <c r="G62" s="2">
        <v>301</v>
      </c>
      <c r="H62" s="2">
        <v>310</v>
      </c>
      <c r="I62" s="2">
        <v>254</v>
      </c>
      <c r="J62" s="2">
        <v>374</v>
      </c>
      <c r="L62" s="171"/>
    </row>
    <row r="63" spans="2:12" x14ac:dyDescent="0.25">
      <c r="B63" s="5" t="s">
        <v>21</v>
      </c>
      <c r="C63" s="2"/>
      <c r="D63" s="2"/>
      <c r="E63" s="2"/>
      <c r="F63" s="2"/>
      <c r="G63" s="2"/>
      <c r="H63" s="2"/>
      <c r="I63" s="2"/>
      <c r="J63" s="2"/>
    </row>
    <row r="64" spans="2:12" x14ac:dyDescent="0.25">
      <c r="B64" s="5" t="s">
        <v>22</v>
      </c>
      <c r="C64" s="2">
        <v>38</v>
      </c>
      <c r="D64" s="2">
        <v>42</v>
      </c>
      <c r="E64" s="2">
        <v>38</v>
      </c>
      <c r="F64" s="2">
        <v>25</v>
      </c>
      <c r="G64" s="2">
        <v>27</v>
      </c>
      <c r="H64" s="2">
        <v>32</v>
      </c>
      <c r="I64" s="2">
        <v>34</v>
      </c>
      <c r="J64" s="2">
        <v>25</v>
      </c>
      <c r="L64" s="171"/>
    </row>
    <row r="65" spans="2:12" x14ac:dyDescent="0.25">
      <c r="B65" s="5" t="s">
        <v>23</v>
      </c>
      <c r="C65" s="2">
        <v>4</v>
      </c>
      <c r="D65" s="2">
        <v>8</v>
      </c>
      <c r="E65" s="2">
        <v>4</v>
      </c>
      <c r="F65" s="2">
        <v>6</v>
      </c>
      <c r="G65" s="2">
        <v>2</v>
      </c>
      <c r="H65" s="2">
        <v>4</v>
      </c>
      <c r="I65" s="2">
        <v>3</v>
      </c>
      <c r="J65" s="2">
        <v>0</v>
      </c>
      <c r="L65" s="171"/>
    </row>
    <row r="66" spans="2:12" x14ac:dyDescent="0.25">
      <c r="B66" s="5" t="s">
        <v>24</v>
      </c>
      <c r="C66" s="2"/>
      <c r="D66" s="2"/>
      <c r="E66" s="2"/>
      <c r="F66" s="2"/>
      <c r="G66" s="2"/>
      <c r="H66" s="2"/>
      <c r="I66" s="2"/>
      <c r="J66" s="2"/>
    </row>
    <row r="67" spans="2:12" ht="26.25" x14ac:dyDescent="0.25">
      <c r="B67" s="8" t="s">
        <v>25</v>
      </c>
      <c r="C67" s="2"/>
      <c r="D67" s="2"/>
      <c r="E67" s="2"/>
      <c r="F67" s="2"/>
      <c r="G67" s="2"/>
      <c r="H67" s="2"/>
      <c r="I67" s="2"/>
      <c r="J67" s="2"/>
    </row>
    <row r="68" spans="2:12" x14ac:dyDescent="0.25">
      <c r="B68" s="5" t="s">
        <v>26</v>
      </c>
      <c r="C68" s="2"/>
      <c r="D68" s="2"/>
      <c r="E68" s="2"/>
      <c r="F68" s="2"/>
      <c r="G68" s="2"/>
      <c r="H68" s="2"/>
      <c r="I68" s="2"/>
      <c r="J68" s="2"/>
    </row>
    <row r="69" spans="2:12" x14ac:dyDescent="0.25">
      <c r="B69" s="5" t="s">
        <v>27</v>
      </c>
      <c r="C69" s="2"/>
      <c r="D69" s="2"/>
      <c r="E69" s="2"/>
      <c r="F69" s="2"/>
      <c r="G69" s="2"/>
      <c r="H69" s="2"/>
      <c r="I69" s="2"/>
      <c r="J69" s="2"/>
    </row>
    <row r="70" spans="2:12" x14ac:dyDescent="0.25">
      <c r="B70" s="5" t="s">
        <v>28</v>
      </c>
      <c r="C70" s="2"/>
      <c r="D70" s="2"/>
      <c r="E70" s="2"/>
      <c r="F70" s="2"/>
      <c r="G70" s="2"/>
      <c r="H70" s="2"/>
      <c r="I70" s="2"/>
      <c r="J70" s="2"/>
    </row>
    <row r="71" spans="2:12" x14ac:dyDescent="0.25">
      <c r="B71" s="5" t="s">
        <v>29</v>
      </c>
      <c r="C71" s="2">
        <v>45</v>
      </c>
      <c r="D71" s="2">
        <v>36</v>
      </c>
      <c r="E71" s="2">
        <v>33</v>
      </c>
      <c r="F71" s="2">
        <v>35</v>
      </c>
      <c r="G71" s="2">
        <v>32</v>
      </c>
      <c r="H71" s="2">
        <v>36</v>
      </c>
      <c r="I71" s="2">
        <v>41</v>
      </c>
      <c r="J71" s="2">
        <v>20</v>
      </c>
      <c r="L71" s="171"/>
    </row>
    <row r="72" spans="2:12" x14ac:dyDescent="0.25">
      <c r="B72" s="5" t="s">
        <v>19</v>
      </c>
      <c r="C72" s="2"/>
      <c r="D72" s="2"/>
      <c r="E72" s="2"/>
      <c r="F72" s="2"/>
      <c r="G72" s="2"/>
      <c r="H72" s="2"/>
      <c r="I72" s="2"/>
      <c r="J72" s="2"/>
    </row>
    <row r="73" spans="2:12" x14ac:dyDescent="0.25">
      <c r="B73" s="7"/>
      <c r="C73" s="2"/>
      <c r="D73" s="2"/>
      <c r="E73" s="2"/>
      <c r="F73" s="2"/>
      <c r="G73" s="2"/>
      <c r="H73" s="2"/>
      <c r="I73" s="2"/>
      <c r="J73" s="2"/>
    </row>
    <row r="74" spans="2:12" x14ac:dyDescent="0.25">
      <c r="B74" s="9" t="s">
        <v>17</v>
      </c>
      <c r="C74" s="2"/>
      <c r="D74" s="2"/>
      <c r="E74" s="2"/>
      <c r="F74" s="2"/>
      <c r="G74" s="2"/>
      <c r="H74" s="2"/>
      <c r="I74" s="2"/>
      <c r="J74" s="2"/>
    </row>
    <row r="75" spans="2:12" x14ac:dyDescent="0.25">
      <c r="B75" s="10" t="s">
        <v>30</v>
      </c>
      <c r="C75" s="112">
        <f>C59/Folkmängd!C17*100000</f>
        <v>71.852956401480327</v>
      </c>
      <c r="D75" s="112">
        <f>D59/Folkmängd!D17*100000</f>
        <v>69.821211913101209</v>
      </c>
      <c r="E75" s="112">
        <f>E59/Folkmängd!E17*100000</f>
        <v>57.521175687716408</v>
      </c>
      <c r="F75" s="112">
        <f>F59/Folkmängd!F17*100000</f>
        <v>64.080608986752992</v>
      </c>
      <c r="G75" s="112">
        <f>G59/Folkmängd!G17*100000</f>
        <v>57.998242261860284</v>
      </c>
      <c r="H75" s="112">
        <f>H59/Folkmängd!H17*100000</f>
        <v>69.85413626397947</v>
      </c>
      <c r="I75" s="112">
        <f>I59/Folkmängd!I17*100000</f>
        <v>54.069580791781426</v>
      </c>
      <c r="J75" s="112">
        <f>J59/Folkmängd!J17*100000</f>
        <v>53.034826202539662</v>
      </c>
    </row>
    <row r="76" spans="2:12" x14ac:dyDescent="0.25">
      <c r="B76" s="10" t="s">
        <v>31</v>
      </c>
      <c r="C76" s="112">
        <f>C59/Folkmängd!C18*100000</f>
        <v>57.112853155485141</v>
      </c>
      <c r="D76" s="112">
        <f>D59/Folkmängd!D18*100000</f>
        <v>55.606198723792154</v>
      </c>
      <c r="E76" s="112">
        <f>E59/Folkmängd!E18*100000</f>
        <v>46.011024602365509</v>
      </c>
      <c r="F76" s="112">
        <f>F59/Folkmängd!F18*100000</f>
        <v>51.42619011730492</v>
      </c>
      <c r="G76" s="112">
        <f>G59/Folkmängd!G18*100000</f>
        <v>46.778590902568517</v>
      </c>
      <c r="H76" s="112">
        <f>H59/Folkmängd!H18*100000</f>
        <v>56.584059542117302</v>
      </c>
      <c r="I76" s="112">
        <f>I59/Folkmängd!I18*100000</f>
        <v>43.939868290244796</v>
      </c>
      <c r="J76" s="112">
        <f>J59/Folkmängd!J18*100000</f>
        <v>43.113733486626607</v>
      </c>
    </row>
    <row r="77" spans="2:12" x14ac:dyDescent="0.25">
      <c r="B77" s="9"/>
      <c r="C77" s="112"/>
      <c r="D77" s="112"/>
      <c r="E77" s="112"/>
      <c r="F77" s="112"/>
      <c r="G77" s="112"/>
      <c r="H77" s="112"/>
      <c r="I77" s="112"/>
      <c r="J77" s="112"/>
    </row>
    <row r="78" spans="2:12" x14ac:dyDescent="0.25">
      <c r="B78" s="9" t="s">
        <v>18</v>
      </c>
      <c r="C78" s="112"/>
      <c r="D78" s="112"/>
      <c r="E78" s="112"/>
      <c r="F78" s="112"/>
      <c r="G78" s="112"/>
      <c r="H78" s="112"/>
      <c r="I78" s="112"/>
      <c r="J78" s="112"/>
    </row>
    <row r="79" spans="2:12" x14ac:dyDescent="0.25">
      <c r="B79" s="10" t="s">
        <v>30</v>
      </c>
      <c r="C79" s="112">
        <f>C60/Folkmängd!C17*100000</f>
        <v>127.867357897258</v>
      </c>
      <c r="D79" s="112">
        <f>D60/Folkmängd!D17*100000</f>
        <v>129.72247022106234</v>
      </c>
      <c r="E79" s="112">
        <f>E60/Folkmängd!E17*100000</f>
        <v>123.31337010177113</v>
      </c>
      <c r="F79" s="112">
        <f>F60/Folkmängd!F17*100000</f>
        <v>96.857472204115155</v>
      </c>
      <c r="G79" s="112">
        <f>G60/Folkmängd!G17*100000</f>
        <v>128.80591226253634</v>
      </c>
      <c r="H79" s="112">
        <f>H60/Folkmängd!H17*100000</f>
        <v>132.10039630118891</v>
      </c>
      <c r="I79" s="112">
        <f>I60/Folkmängd!I17*100000</f>
        <v>112.19438014294644</v>
      </c>
      <c r="J79" s="112">
        <f>J60/Folkmängd!J17*100000</f>
        <v>139.7584413765039</v>
      </c>
    </row>
    <row r="80" spans="2:12" x14ac:dyDescent="0.25">
      <c r="B80" s="10" t="s">
        <v>31</v>
      </c>
      <c r="C80" s="112">
        <f>C60/Folkmängd!C18*100000</f>
        <v>101.63631394873968</v>
      </c>
      <c r="D80" s="112">
        <f>D60/Folkmängd!D18*100000</f>
        <v>103.31206320267395</v>
      </c>
      <c r="E80" s="112">
        <f>E60/Folkmängd!E18*100000</f>
        <v>98.638013526639767</v>
      </c>
      <c r="F80" s="112">
        <f>F60/Folkmängd!F18*100000</f>
        <v>77.730390809489606</v>
      </c>
      <c r="G80" s="112">
        <f>G60/Folkmängd!G18*100000</f>
        <v>103.88864973453867</v>
      </c>
      <c r="H80" s="112">
        <f>H60/Folkmängd!H18*100000</f>
        <v>107.00549873806342</v>
      </c>
      <c r="I80" s="112">
        <f>I60/Folkmängd!I18*100000</f>
        <v>91.175226702257959</v>
      </c>
      <c r="J80" s="112">
        <f>J60/Folkmängd!J18*100000</f>
        <v>113.61417818173929</v>
      </c>
    </row>
    <row r="81" spans="2:10" x14ac:dyDescent="0.25">
      <c r="B81" s="10"/>
    </row>
    <row r="82" spans="2:10" x14ac:dyDescent="0.25">
      <c r="B82" s="89" t="s">
        <v>368</v>
      </c>
    </row>
    <row r="85" spans="2:10" ht="18.75" x14ac:dyDescent="0.3">
      <c r="B85" s="18" t="s">
        <v>35</v>
      </c>
      <c r="C85" s="19">
        <v>2014</v>
      </c>
      <c r="D85" s="19">
        <v>2015</v>
      </c>
      <c r="E85" s="19">
        <v>2016</v>
      </c>
      <c r="F85" s="19">
        <v>2017</v>
      </c>
      <c r="G85" s="19">
        <v>2018</v>
      </c>
      <c r="H85" s="19">
        <v>2019</v>
      </c>
      <c r="I85" s="19">
        <v>2020</v>
      </c>
      <c r="J85" s="19">
        <v>2021</v>
      </c>
    </row>
    <row r="86" spans="2:10" x14ac:dyDescent="0.25">
      <c r="B86" s="7" t="s">
        <v>14</v>
      </c>
      <c r="C86" s="13">
        <v>6718</v>
      </c>
      <c r="D86" s="13">
        <f>6602+124</f>
        <v>6726</v>
      </c>
      <c r="E86" s="13">
        <f>6660+132</f>
        <v>6792</v>
      </c>
      <c r="F86" s="13">
        <v>6297</v>
      </c>
      <c r="G86" s="13">
        <v>5467</v>
      </c>
      <c r="H86" s="13">
        <v>4597</v>
      </c>
      <c r="I86" s="13">
        <v>3772</v>
      </c>
      <c r="J86" s="13">
        <v>4358</v>
      </c>
    </row>
    <row r="87" spans="2:10" x14ac:dyDescent="0.25">
      <c r="B87" s="7" t="s">
        <v>15</v>
      </c>
      <c r="C87" s="13">
        <v>6409</v>
      </c>
      <c r="D87" s="13">
        <v>6563</v>
      </c>
      <c r="E87" s="13">
        <v>6541</v>
      </c>
      <c r="F87" s="13">
        <f>F90+F91+F92+F94+F97+F98+F99</f>
        <v>6645</v>
      </c>
      <c r="G87" s="13">
        <f>G90+G91+G92+G94+G97+G98+G99</f>
        <v>6178</v>
      </c>
      <c r="H87" s="13">
        <f>H90+H91+H92+H94+H97+H98+H99</f>
        <v>6479</v>
      </c>
      <c r="I87" s="13">
        <v>6834</v>
      </c>
      <c r="J87" s="13">
        <v>7556</v>
      </c>
    </row>
    <row r="88" spans="2:10" x14ac:dyDescent="0.25">
      <c r="B88" s="7" t="s">
        <v>16</v>
      </c>
      <c r="C88" s="2"/>
      <c r="D88" s="2"/>
      <c r="E88" s="2"/>
      <c r="F88" s="2"/>
      <c r="G88" s="2"/>
      <c r="H88" s="2"/>
      <c r="I88" s="2"/>
      <c r="J88" s="13"/>
    </row>
    <row r="89" spans="2:10" x14ac:dyDescent="0.25">
      <c r="B89" s="5" t="s">
        <v>20</v>
      </c>
      <c r="C89" s="2">
        <v>0</v>
      </c>
      <c r="D89" s="2">
        <v>0</v>
      </c>
      <c r="E89" s="2">
        <v>0</v>
      </c>
      <c r="F89" s="2">
        <v>0</v>
      </c>
      <c r="G89" s="2">
        <v>0</v>
      </c>
      <c r="H89" s="2">
        <v>0</v>
      </c>
      <c r="I89" s="2">
        <v>0</v>
      </c>
      <c r="J89" s="13">
        <v>0</v>
      </c>
    </row>
    <row r="90" spans="2:10" x14ac:dyDescent="0.25">
      <c r="B90" s="5" t="s">
        <v>21</v>
      </c>
      <c r="C90" s="13">
        <v>2246</v>
      </c>
      <c r="D90" s="13">
        <v>1914</v>
      </c>
      <c r="E90" s="13">
        <v>1909</v>
      </c>
      <c r="F90" s="13">
        <v>1980</v>
      </c>
      <c r="G90" s="13">
        <v>1782</v>
      </c>
      <c r="H90" s="13">
        <v>1797</v>
      </c>
      <c r="I90" s="13">
        <v>1630</v>
      </c>
      <c r="J90" s="13">
        <v>2115</v>
      </c>
    </row>
    <row r="91" spans="2:10" x14ac:dyDescent="0.25">
      <c r="B91" s="5" t="s">
        <v>22</v>
      </c>
      <c r="C91" s="2">
        <v>794</v>
      </c>
      <c r="D91" s="2">
        <v>750</v>
      </c>
      <c r="E91" s="2">
        <v>760</v>
      </c>
      <c r="F91" s="2">
        <v>723</v>
      </c>
      <c r="G91" s="2">
        <v>666</v>
      </c>
      <c r="H91" s="2">
        <v>640</v>
      </c>
      <c r="I91" s="2">
        <v>535</v>
      </c>
      <c r="J91" s="13">
        <v>578</v>
      </c>
    </row>
    <row r="92" spans="2:10" x14ac:dyDescent="0.25">
      <c r="B92" s="5" t="s">
        <v>23</v>
      </c>
      <c r="C92" s="2">
        <v>6</v>
      </c>
      <c r="D92" s="2">
        <v>7</v>
      </c>
      <c r="E92" s="2">
        <v>5</v>
      </c>
      <c r="F92" s="2">
        <v>5</v>
      </c>
      <c r="G92" s="2">
        <v>6</v>
      </c>
      <c r="H92" s="2">
        <v>3</v>
      </c>
      <c r="I92" s="2">
        <v>0</v>
      </c>
      <c r="J92" s="13">
        <v>0</v>
      </c>
    </row>
    <row r="93" spans="2:10" x14ac:dyDescent="0.25">
      <c r="B93" s="5" t="s">
        <v>24</v>
      </c>
      <c r="C93" s="2"/>
      <c r="D93" s="2"/>
      <c r="E93" s="2"/>
      <c r="F93" s="2"/>
      <c r="G93" s="2"/>
      <c r="H93" s="2"/>
      <c r="I93" s="2"/>
      <c r="J93" s="13"/>
    </row>
    <row r="94" spans="2:10" ht="26.25" x14ac:dyDescent="0.25">
      <c r="B94" s="8" t="s">
        <v>25</v>
      </c>
      <c r="C94" s="2">
        <v>497</v>
      </c>
      <c r="D94" s="2">
        <v>556</v>
      </c>
      <c r="E94" s="2">
        <v>463</v>
      </c>
      <c r="F94" s="2">
        <v>468</v>
      </c>
      <c r="G94" s="2">
        <v>388</v>
      </c>
      <c r="H94" s="2">
        <v>366</v>
      </c>
      <c r="I94" s="2">
        <v>361</v>
      </c>
      <c r="J94" s="13">
        <v>372</v>
      </c>
    </row>
    <row r="95" spans="2:10" x14ac:dyDescent="0.25">
      <c r="B95" s="5" t="s">
        <v>26</v>
      </c>
      <c r="C95" s="2"/>
      <c r="D95" s="2"/>
      <c r="E95" s="2"/>
      <c r="F95" s="2"/>
      <c r="G95" s="2"/>
      <c r="H95" s="2"/>
      <c r="I95" s="2"/>
      <c r="J95" s="13"/>
    </row>
    <row r="96" spans="2:10" x14ac:dyDescent="0.25">
      <c r="B96" s="5" t="s">
        <v>27</v>
      </c>
      <c r="C96" s="2"/>
      <c r="D96" s="2"/>
      <c r="E96" s="2"/>
      <c r="F96" s="2"/>
      <c r="G96" s="2"/>
      <c r="H96" s="2"/>
      <c r="I96" s="2"/>
      <c r="J96" s="13"/>
    </row>
    <row r="97" spans="2:10" x14ac:dyDescent="0.25">
      <c r="B97" s="5" t="s">
        <v>28</v>
      </c>
      <c r="C97" s="13">
        <v>2459</v>
      </c>
      <c r="D97" s="13">
        <v>2838</v>
      </c>
      <c r="E97" s="13">
        <v>2908</v>
      </c>
      <c r="F97" s="13">
        <v>2882</v>
      </c>
      <c r="G97" s="13">
        <v>2791</v>
      </c>
      <c r="H97" s="13">
        <v>2951</v>
      </c>
      <c r="I97" s="13">
        <v>3178</v>
      </c>
      <c r="J97" s="13">
        <v>3361</v>
      </c>
    </row>
    <row r="98" spans="2:10" x14ac:dyDescent="0.25">
      <c r="B98" s="5" t="s">
        <v>29</v>
      </c>
      <c r="C98" s="2">
        <v>268</v>
      </c>
      <c r="D98" s="2">
        <v>360</v>
      </c>
      <c r="E98" s="2">
        <v>383</v>
      </c>
      <c r="F98" s="2">
        <v>383</v>
      </c>
      <c r="G98" s="2">
        <v>327</v>
      </c>
      <c r="H98" s="2">
        <v>322</v>
      </c>
      <c r="I98" s="2">
        <v>325</v>
      </c>
      <c r="J98" s="13">
        <v>331</v>
      </c>
    </row>
    <row r="99" spans="2:10" x14ac:dyDescent="0.25">
      <c r="B99" s="5" t="s">
        <v>19</v>
      </c>
      <c r="C99" s="2">
        <f>C87-C89-C90-C91-C92-C94-C97-C98</f>
        <v>139</v>
      </c>
      <c r="D99" s="2">
        <f>D87-D89-D90-D91-D92-D94-D97-D98</f>
        <v>138</v>
      </c>
      <c r="E99" s="2">
        <f>E87-E89-E90-E91-E92-E94-E97-E98</f>
        <v>113</v>
      </c>
      <c r="F99" s="2">
        <f>135+8+40+21</f>
        <v>204</v>
      </c>
      <c r="G99" s="2">
        <f>167+12+9+30</f>
        <v>218</v>
      </c>
      <c r="H99" s="2">
        <v>400</v>
      </c>
      <c r="I99" s="13">
        <f>I87-I90-I91-I94-I97-I98</f>
        <v>805</v>
      </c>
      <c r="J99" s="13">
        <v>799</v>
      </c>
    </row>
    <row r="100" spans="2:10" x14ac:dyDescent="0.25">
      <c r="B100" s="7"/>
      <c r="C100" s="2"/>
      <c r="D100" s="2"/>
      <c r="E100" s="2"/>
      <c r="F100" s="2"/>
      <c r="G100" s="2"/>
      <c r="H100" s="2"/>
      <c r="I100" s="2"/>
    </row>
    <row r="101" spans="2:10" x14ac:dyDescent="0.25">
      <c r="B101" s="9" t="s">
        <v>17</v>
      </c>
      <c r="C101" s="2"/>
      <c r="D101" s="2"/>
      <c r="E101" s="2"/>
      <c r="F101" s="2"/>
      <c r="G101" s="2"/>
      <c r="H101" s="2"/>
      <c r="I101" s="2"/>
    </row>
    <row r="102" spans="2:10" x14ac:dyDescent="0.25">
      <c r="B102" s="10" t="s">
        <v>30</v>
      </c>
      <c r="C102" s="112">
        <f>C86/Folkmängd!C23*100000</f>
        <v>160.78651844054787</v>
      </c>
      <c r="D102" s="112">
        <f>D86/Folkmängd!D23*100000</f>
        <v>158.87904995713856</v>
      </c>
      <c r="E102" s="112">
        <f>E86/Folkmängd!E23*100000</f>
        <v>158.6904764686229</v>
      </c>
      <c r="F102" s="112">
        <f>F86/Folkmängd!F23*100000</f>
        <v>145.74341059022493</v>
      </c>
      <c r="G102" s="112">
        <f>G86/Folkmängd!G23*100000</f>
        <v>125.48531739154886</v>
      </c>
      <c r="H102" s="112">
        <f>H86/Folkmängd!H23*100000</f>
        <v>104.63770134847654</v>
      </c>
      <c r="I102" s="112">
        <f>I86/Folkmängd!I23*100000</f>
        <v>85.003717222469746</v>
      </c>
      <c r="J102" s="112">
        <f>J86/Folkmängd!J23*100000</f>
        <v>97.499249403437929</v>
      </c>
    </row>
    <row r="103" spans="2:10" x14ac:dyDescent="0.25">
      <c r="B103" s="10" t="s">
        <v>31</v>
      </c>
      <c r="C103" s="112">
        <f>C86/Folkmängd!C24*100000</f>
        <v>131.49200165353443</v>
      </c>
      <c r="D103" s="112">
        <f>D86/Folkmängd!D24*100000</f>
        <v>130.20243516882761</v>
      </c>
      <c r="E103" s="112">
        <f>E86/Folkmängd!E24*100000</f>
        <v>130.26504679242461</v>
      </c>
      <c r="F103" s="112">
        <f>F86/Folkmängd!F24*100000</f>
        <v>119.75314535049903</v>
      </c>
      <c r="G103" s="112">
        <f>G86/Folkmängd!G24*100000</f>
        <v>103.23627889393099</v>
      </c>
      <c r="H103" s="112">
        <f>H86/Folkmängd!H24*100000</f>
        <v>86.276597102367546</v>
      </c>
      <c r="I103" s="112">
        <f>I86/Folkmängd!I24*100000</f>
        <v>70.273754652934841</v>
      </c>
      <c r="J103" s="112">
        <f>J86/Folkmängd!J24*100000</f>
        <v>80.83290162480067</v>
      </c>
    </row>
    <row r="104" spans="2:10" x14ac:dyDescent="0.25">
      <c r="B104" s="9"/>
      <c r="C104" s="112"/>
      <c r="D104" s="112"/>
      <c r="E104" s="112"/>
      <c r="F104" s="112"/>
      <c r="G104" s="112"/>
      <c r="H104" s="112"/>
      <c r="I104" s="112"/>
      <c r="J104" s="112"/>
    </row>
    <row r="105" spans="2:10" x14ac:dyDescent="0.25">
      <c r="B105" s="9" t="s">
        <v>18</v>
      </c>
      <c r="C105" s="112"/>
      <c r="D105" s="112"/>
      <c r="E105" s="112"/>
      <c r="F105" s="112"/>
      <c r="G105" s="112"/>
      <c r="H105" s="112"/>
      <c r="I105" s="112"/>
      <c r="J105" s="112"/>
    </row>
    <row r="106" spans="2:10" x14ac:dyDescent="0.25">
      <c r="B106" s="10" t="s">
        <v>30</v>
      </c>
      <c r="C106" s="112">
        <f>C87/Folkmängd!C23*100000</f>
        <v>153.39100873555694</v>
      </c>
      <c r="D106" s="112">
        <f>D87/Folkmängd!D23*100000</f>
        <v>155.02872507711871</v>
      </c>
      <c r="E106" s="112">
        <f>E87/Folkmängd!E23*100000</f>
        <v>152.82603159323651</v>
      </c>
      <c r="F106" s="112">
        <f>F87/Folkmängd!F23*100000</f>
        <v>153.79783442465376</v>
      </c>
      <c r="G106" s="112">
        <f>G87/Folkmängd!G23*100000</f>
        <v>141.80506508962662</v>
      </c>
      <c r="H106" s="112">
        <f>H87/Folkmängd!H23*100000</f>
        <v>147.47610768692181</v>
      </c>
      <c r="I106" s="112">
        <f>I87/Folkmängd!I23*100000</f>
        <v>154.00726497835583</v>
      </c>
      <c r="J106" s="112">
        <f>J87/Folkmängd!J23*100000</f>
        <v>169.04642691426733</v>
      </c>
    </row>
    <row r="107" spans="2:10" x14ac:dyDescent="0.25">
      <c r="B107" s="10" t="s">
        <v>31</v>
      </c>
      <c r="C107" s="112">
        <f>C87/Folkmängd!C24*100000</f>
        <v>125.44391762392114</v>
      </c>
      <c r="D107" s="112">
        <f>D87/Folkmängd!D24*100000</f>
        <v>127.0470683932524</v>
      </c>
      <c r="E107" s="112">
        <f>E87/Folkmängd!E24*100000</f>
        <v>125.45107053434177</v>
      </c>
      <c r="F107" s="112">
        <f>F87/Folkmängd!F24*100000</f>
        <v>126.37123246848755</v>
      </c>
      <c r="G107" s="112">
        <f>G87/Folkmängd!G24*100000</f>
        <v>116.66247137492331</v>
      </c>
      <c r="H107" s="112">
        <f>H87/Folkmängd!H24*100000</f>
        <v>121.59801449341731</v>
      </c>
      <c r="I107" s="112">
        <f>I87/Folkmängd!I24*100000</f>
        <v>127.31994679166404</v>
      </c>
      <c r="J107" s="112">
        <f>J87/Folkmängd!J24*100000</f>
        <v>140.14993223428039</v>
      </c>
    </row>
    <row r="112" spans="2:10" ht="18.75" x14ac:dyDescent="0.3">
      <c r="B112" s="18" t="s">
        <v>36</v>
      </c>
      <c r="C112" s="19">
        <v>2014</v>
      </c>
      <c r="D112" s="19">
        <v>2015</v>
      </c>
      <c r="E112" s="19">
        <v>2016</v>
      </c>
      <c r="F112" s="19">
        <v>2017</v>
      </c>
      <c r="G112" s="19">
        <v>2018</v>
      </c>
      <c r="H112" s="19">
        <v>2019</v>
      </c>
      <c r="I112" s="19">
        <v>2020</v>
      </c>
      <c r="J112" s="19">
        <v>2021</v>
      </c>
    </row>
    <row r="113" spans="2:10" x14ac:dyDescent="0.25">
      <c r="B113" s="25" t="s">
        <v>14</v>
      </c>
      <c r="C113" s="27">
        <v>8943</v>
      </c>
      <c r="D113" s="27">
        <v>8581</v>
      </c>
      <c r="E113" s="27">
        <v>8495</v>
      </c>
      <c r="F113" s="27">
        <v>8423</v>
      </c>
      <c r="G113" s="27">
        <v>8930</v>
      </c>
      <c r="H113" s="27">
        <v>9172</v>
      </c>
      <c r="I113" s="27">
        <v>8964</v>
      </c>
      <c r="J113" s="27">
        <v>9481</v>
      </c>
    </row>
    <row r="114" spans="2:10" x14ac:dyDescent="0.25">
      <c r="B114" s="25" t="s">
        <v>15</v>
      </c>
      <c r="C114" s="28">
        <f>SUM(C116:C125)</f>
        <v>16686</v>
      </c>
      <c r="D114" s="28">
        <f t="shared" ref="D114" si="2">SUM(D116:D125)</f>
        <v>16288</v>
      </c>
      <c r="E114" s="28">
        <f>SUM(E116:E125)</f>
        <v>15166</v>
      </c>
      <c r="F114" s="28">
        <f>SUM(F116:F125)</f>
        <v>14740</v>
      </c>
      <c r="G114" s="28">
        <f>SUM(G116:G126)</f>
        <v>15402</v>
      </c>
      <c r="H114" s="28">
        <f>SUM(H116:H126)</f>
        <v>15056</v>
      </c>
      <c r="I114" s="28">
        <f>SUM(I116:I126)</f>
        <v>16126</v>
      </c>
      <c r="J114" s="28">
        <f>SUM(J116:J126)</f>
        <v>17491</v>
      </c>
    </row>
    <row r="115" spans="2:10" x14ac:dyDescent="0.25">
      <c r="B115" s="25" t="s">
        <v>16</v>
      </c>
      <c r="C115" s="21"/>
      <c r="D115" s="21"/>
      <c r="E115" s="21"/>
      <c r="F115" s="21"/>
      <c r="G115" s="21"/>
      <c r="H115" s="21"/>
      <c r="I115" s="21"/>
      <c r="J115" s="21"/>
    </row>
    <row r="116" spans="2:10" x14ac:dyDescent="0.25">
      <c r="B116" s="26" t="s">
        <v>240</v>
      </c>
      <c r="C116" s="28">
        <f>3844+1219+102</f>
        <v>5165</v>
      </c>
      <c r="D116" s="28">
        <f>3797+1097+66</f>
        <v>4960</v>
      </c>
      <c r="E116" s="28">
        <f>3362+1044+70</f>
        <v>4476</v>
      </c>
      <c r="F116" s="28">
        <f>3199+1142+9</f>
        <v>4350</v>
      </c>
      <c r="G116" s="28">
        <f>3127+1143+1</f>
        <v>4271</v>
      </c>
      <c r="H116" s="28">
        <f>2978+1088+0</f>
        <v>4066</v>
      </c>
      <c r="I116" s="28">
        <f>2645+1121+0</f>
        <v>3766</v>
      </c>
      <c r="J116" s="28">
        <v>4177</v>
      </c>
    </row>
    <row r="117" spans="2:10" x14ac:dyDescent="0.25">
      <c r="B117" s="26" t="s">
        <v>21</v>
      </c>
      <c r="C117" s="21"/>
      <c r="D117" s="21"/>
      <c r="E117" s="21"/>
      <c r="F117" s="21"/>
      <c r="G117" s="21"/>
      <c r="H117" s="21"/>
      <c r="I117" s="21"/>
      <c r="J117" s="21"/>
    </row>
    <row r="118" spans="2:10" x14ac:dyDescent="0.25">
      <c r="B118" s="26" t="s">
        <v>22</v>
      </c>
      <c r="C118" s="27">
        <v>4029</v>
      </c>
      <c r="D118" s="27">
        <v>3976</v>
      </c>
      <c r="E118" s="27">
        <v>3637</v>
      </c>
      <c r="F118" s="27">
        <v>3251</v>
      </c>
      <c r="G118" s="27">
        <v>3424</v>
      </c>
      <c r="H118" s="27">
        <v>3681</v>
      </c>
      <c r="I118" s="27">
        <v>5274</v>
      </c>
      <c r="J118" s="27">
        <v>5758</v>
      </c>
    </row>
    <row r="119" spans="2:10" x14ac:dyDescent="0.25">
      <c r="B119" s="26" t="s">
        <v>23</v>
      </c>
      <c r="C119" s="21"/>
      <c r="D119" s="21"/>
      <c r="E119" s="21"/>
      <c r="F119" s="21"/>
      <c r="G119" s="21"/>
      <c r="H119" s="21"/>
      <c r="I119" s="21"/>
      <c r="J119" s="21"/>
    </row>
    <row r="120" spans="2:10" x14ac:dyDescent="0.25">
      <c r="B120" s="26" t="s">
        <v>24</v>
      </c>
      <c r="C120" s="21"/>
      <c r="D120" s="21"/>
      <c r="E120" s="21"/>
      <c r="F120" s="21"/>
      <c r="G120" s="21"/>
      <c r="H120" s="21"/>
      <c r="I120" s="21"/>
      <c r="J120" s="21"/>
    </row>
    <row r="121" spans="2:10" ht="26.25" x14ac:dyDescent="0.25">
      <c r="B121" s="29" t="s">
        <v>25</v>
      </c>
      <c r="C121" s="21"/>
      <c r="D121" s="21"/>
      <c r="E121" s="21"/>
      <c r="F121" s="21"/>
      <c r="G121" s="21"/>
      <c r="H121" s="21"/>
      <c r="I121" s="21"/>
      <c r="J121" s="21"/>
    </row>
    <row r="122" spans="2:10" x14ac:dyDescent="0.25">
      <c r="B122" s="26" t="s">
        <v>26</v>
      </c>
      <c r="C122" s="21">
        <f>856+59</f>
        <v>915</v>
      </c>
      <c r="D122" s="21">
        <f>745+67</f>
        <v>812</v>
      </c>
      <c r="E122" s="21">
        <f>675+28</f>
        <v>703</v>
      </c>
      <c r="F122" s="21">
        <f>724+2</f>
        <v>726</v>
      </c>
      <c r="G122" s="21">
        <f>727+1</f>
        <v>728</v>
      </c>
      <c r="H122" s="21">
        <f>635+1</f>
        <v>636</v>
      </c>
      <c r="I122" s="21">
        <f>642+0</f>
        <v>642</v>
      </c>
      <c r="J122" s="21">
        <v>555</v>
      </c>
    </row>
    <row r="123" spans="2:10" x14ac:dyDescent="0.25">
      <c r="B123" s="26" t="s">
        <v>27</v>
      </c>
      <c r="C123" s="28">
        <f>6405-1219-102-856-59</f>
        <v>4169</v>
      </c>
      <c r="D123" s="28">
        <f>6091-1097-66-745-67</f>
        <v>4116</v>
      </c>
      <c r="E123" s="28">
        <f>5801-1044-70-675-28</f>
        <v>3984</v>
      </c>
      <c r="F123" s="28">
        <f>6110-1142-9-724-2</f>
        <v>4233</v>
      </c>
      <c r="G123" s="28">
        <f>6275-1143-1-227-1</f>
        <v>4903</v>
      </c>
      <c r="H123" s="28">
        <f>6220-1088-0-635-1</f>
        <v>4496</v>
      </c>
      <c r="I123" s="28">
        <f>5983-1121-0-642-0</f>
        <v>4220</v>
      </c>
      <c r="J123" s="28">
        <v>4561</v>
      </c>
    </row>
    <row r="124" spans="2:10" x14ac:dyDescent="0.25">
      <c r="B124" s="26" t="s">
        <v>28</v>
      </c>
      <c r="C124" s="30">
        <v>1877</v>
      </c>
      <c r="D124" s="30">
        <v>1827</v>
      </c>
      <c r="E124" s="30">
        <v>1817</v>
      </c>
      <c r="F124" s="30">
        <v>1642</v>
      </c>
      <c r="G124" s="30">
        <v>1563</v>
      </c>
      <c r="H124" s="30">
        <v>1609</v>
      </c>
      <c r="I124" s="30">
        <v>1622</v>
      </c>
      <c r="J124" s="30">
        <v>1778</v>
      </c>
    </row>
    <row r="125" spans="2:10" x14ac:dyDescent="0.25">
      <c r="B125" s="26" t="s">
        <v>29</v>
      </c>
      <c r="C125" s="21">
        <v>531</v>
      </c>
      <c r="D125" s="21">
        <v>597</v>
      </c>
      <c r="E125" s="21">
        <v>549</v>
      </c>
      <c r="F125" s="21">
        <v>538</v>
      </c>
      <c r="G125" s="21">
        <v>513</v>
      </c>
      <c r="H125" s="21">
        <v>568</v>
      </c>
      <c r="I125" s="21">
        <v>602</v>
      </c>
      <c r="J125" s="21">
        <v>624</v>
      </c>
    </row>
    <row r="126" spans="2:10" x14ac:dyDescent="0.25">
      <c r="B126" s="26" t="s">
        <v>351</v>
      </c>
      <c r="C126" s="21"/>
      <c r="D126" s="21"/>
      <c r="E126" s="21"/>
      <c r="F126" s="21"/>
      <c r="G126" s="21"/>
      <c r="H126" s="21"/>
      <c r="I126" s="21"/>
      <c r="J126" s="21">
        <v>38</v>
      </c>
    </row>
    <row r="127" spans="2:10" x14ac:dyDescent="0.25">
      <c r="B127" s="25"/>
      <c r="C127" s="21"/>
      <c r="D127" s="21"/>
      <c r="E127" s="21"/>
      <c r="F127" s="21"/>
      <c r="G127" s="21"/>
      <c r="H127" s="21"/>
      <c r="I127" s="21"/>
      <c r="J127" s="21"/>
    </row>
    <row r="128" spans="2:10" x14ac:dyDescent="0.25">
      <c r="B128" s="31" t="s">
        <v>17</v>
      </c>
      <c r="C128" s="21"/>
      <c r="D128" s="21"/>
      <c r="E128" s="21"/>
      <c r="F128" s="21"/>
      <c r="G128" s="21"/>
      <c r="H128" s="21"/>
      <c r="I128" s="21"/>
      <c r="J128" s="21"/>
    </row>
    <row r="129" spans="2:10" x14ac:dyDescent="0.25">
      <c r="B129" s="32" t="s">
        <v>30</v>
      </c>
      <c r="C129" s="33">
        <f>C113/Folkmängd!C29*100000</f>
        <v>110.88211977153549</v>
      </c>
      <c r="D129" s="33">
        <f>D113/Folkmängd!D29*100000</f>
        <v>105.49708539866737</v>
      </c>
      <c r="E129" s="33">
        <f>E113/Folkmängd!E29*100000</f>
        <v>103.16779163482268</v>
      </c>
      <c r="F129" s="33">
        <f>F113/Folkmängd!F29*100000</f>
        <v>101.17031096388052</v>
      </c>
      <c r="G129" s="33">
        <f>G113/Folkmängd!G29*100000</f>
        <v>106.17735827879011</v>
      </c>
      <c r="H129" s="33">
        <f>H113/Folkmängd!H29*100000</f>
        <v>107.9977693962675</v>
      </c>
      <c r="I129" s="33">
        <f>I113/Folkmängd!I29*100000</f>
        <v>104.94647483924656</v>
      </c>
      <c r="J129" s="33">
        <f>J113/Folkmängd!J29*100000</f>
        <v>110.07493942743616</v>
      </c>
    </row>
    <row r="130" spans="2:10" x14ac:dyDescent="0.25">
      <c r="B130" s="32" t="s">
        <v>31</v>
      </c>
      <c r="C130" s="33">
        <f>C113/Folkmängd!C30*100000</f>
        <v>91.747966499629911</v>
      </c>
      <c r="D130" s="33">
        <f>D113/Folkmängd!D30*100000</f>
        <v>87.107757503616114</v>
      </c>
      <c r="E130" s="33">
        <f>E113/Folkmängd!E30*100000</f>
        <v>84.991195232329119</v>
      </c>
      <c r="F130" s="33">
        <f>F113/Folkmängd!F30*100000</f>
        <v>83.229235032126695</v>
      </c>
      <c r="G130" s="33">
        <f>G113/Folkmängd!G30*100000</f>
        <v>87.290699044054435</v>
      </c>
      <c r="H130" s="33">
        <f>H113/Folkmängd!H30*100000</f>
        <v>88.810660455213707</v>
      </c>
      <c r="I130" s="33">
        <f>I113/Folkmängd!I30*100000</f>
        <v>86.364247282691167</v>
      </c>
      <c r="J130" s="33">
        <f>J113/Folkmängd!J30*100000</f>
        <v>90.707082806257674</v>
      </c>
    </row>
    <row r="131" spans="2:10" x14ac:dyDescent="0.25">
      <c r="B131" s="31"/>
      <c r="C131" s="21"/>
      <c r="D131" s="21"/>
      <c r="E131" s="21"/>
      <c r="F131" s="21"/>
      <c r="G131" s="21"/>
      <c r="H131" s="21"/>
      <c r="I131" s="21"/>
      <c r="J131" s="21"/>
    </row>
    <row r="132" spans="2:10" x14ac:dyDescent="0.25">
      <c r="B132" s="31" t="s">
        <v>18</v>
      </c>
      <c r="C132" s="21"/>
      <c r="D132" s="21"/>
      <c r="E132" s="21"/>
      <c r="F132" s="21"/>
      <c r="G132" s="21"/>
      <c r="H132" s="21"/>
      <c r="I132" s="21"/>
      <c r="J132" s="21"/>
    </row>
    <row r="133" spans="2:10" x14ac:dyDescent="0.25">
      <c r="B133" s="32" t="s">
        <v>30</v>
      </c>
      <c r="C133" s="33">
        <f>C114/Folkmängd!C29*100000</f>
        <v>206.88572632313998</v>
      </c>
      <c r="D133" s="33">
        <f>D114/Folkmängd!D29*100000</f>
        <v>200.24898344872321</v>
      </c>
      <c r="E133" s="33">
        <f>E114/Folkmängd!E29*100000</f>
        <v>184.18395855605897</v>
      </c>
      <c r="F133" s="33">
        <f>F114/Folkmängd!F29*100000</f>
        <v>177.04504138758151</v>
      </c>
      <c r="G133" s="33">
        <f>G114/Folkmängd!G29*100000</f>
        <v>183.12919061701294</v>
      </c>
      <c r="H133" s="33">
        <f>H114/Folkmängd!H29*100000</f>
        <v>177.28024596927645</v>
      </c>
      <c r="I133" s="33">
        <f>I114/Folkmängd!I29*100000</f>
        <v>188.79594525409306</v>
      </c>
      <c r="J133" s="33">
        <f>J114/Folkmängd!J29*100000</f>
        <v>203.07148671292967</v>
      </c>
    </row>
    <row r="134" spans="2:10" x14ac:dyDescent="0.25">
      <c r="B134" s="10" t="s">
        <v>31</v>
      </c>
      <c r="C134" s="11">
        <f>C114/Folkmängd!C30*100000</f>
        <v>171.18490092953422</v>
      </c>
      <c r="D134" s="11">
        <f>D114/Folkmängd!D30*100000</f>
        <v>165.3433346018995</v>
      </c>
      <c r="E134" s="11">
        <f>E114/Folkmängd!E30*100000</f>
        <v>151.73354524938239</v>
      </c>
      <c r="F134" s="11">
        <f>F114/Folkmängd!F30*100000</f>
        <v>145.64869100956281</v>
      </c>
      <c r="G134" s="11">
        <f>G114/Folkmängd!G30*100000</f>
        <v>150.55446211383273</v>
      </c>
      <c r="H134" s="11">
        <f>H114/Folkmängd!H30*100000</f>
        <v>145.78426775116631</v>
      </c>
      <c r="I134" s="11">
        <f>I114/Folkmängd!I30*100000</f>
        <v>155.36700710404705</v>
      </c>
      <c r="J134" s="11">
        <f>J114/Folkmängd!J30*100000</f>
        <v>167.34074310349678</v>
      </c>
    </row>
    <row r="136" spans="2:10" x14ac:dyDescent="0.25">
      <c r="B136" s="17" t="s">
        <v>252</v>
      </c>
    </row>
    <row r="137" spans="2:10" x14ac:dyDescent="0.25">
      <c r="B137" s="34" t="s">
        <v>349</v>
      </c>
    </row>
    <row r="138" spans="2:10" x14ac:dyDescent="0.25">
      <c r="B138" s="24" t="s">
        <v>350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32"/>
  <sheetViews>
    <sheetView zoomScaleNormal="100" workbookViewId="0">
      <pane ySplit="2" topLeftCell="A135" activePane="bottomLeft" state="frozen"/>
      <selection activeCell="I143" sqref="I143"/>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6</v>
      </c>
      <c r="F2" s="146"/>
      <c r="G2" s="133"/>
    </row>
    <row r="3" spans="2:10" ht="18.75" x14ac:dyDescent="0.3">
      <c r="B3" s="4"/>
    </row>
    <row r="4" spans="2:10" ht="18.75" x14ac:dyDescent="0.3">
      <c r="B4" s="18" t="s">
        <v>37</v>
      </c>
      <c r="C4" s="19">
        <v>2014</v>
      </c>
      <c r="D4" s="19">
        <v>2015</v>
      </c>
      <c r="E4" s="19">
        <v>2016</v>
      </c>
      <c r="F4" s="19">
        <v>2017</v>
      </c>
      <c r="G4" s="19">
        <v>2018</v>
      </c>
      <c r="H4" s="19">
        <v>2019</v>
      </c>
      <c r="I4" s="19">
        <v>2020</v>
      </c>
      <c r="J4" s="19">
        <v>2021</v>
      </c>
    </row>
    <row r="5" spans="2:10" x14ac:dyDescent="0.25">
      <c r="B5" s="21" t="s">
        <v>241</v>
      </c>
      <c r="C5" s="39">
        <v>3949.4</v>
      </c>
      <c r="D5" s="39">
        <v>3580.6</v>
      </c>
      <c r="E5" s="39">
        <v>3535.7</v>
      </c>
      <c r="F5" s="39">
        <v>3598.5</v>
      </c>
      <c r="G5" s="13">
        <v>3887</v>
      </c>
      <c r="H5" s="13">
        <v>4149</v>
      </c>
      <c r="I5" s="13">
        <v>4267.3</v>
      </c>
      <c r="J5" s="13">
        <v>4320.3999999999996</v>
      </c>
    </row>
    <row r="6" spans="2:10" x14ac:dyDescent="0.25">
      <c r="B6" s="21" t="s">
        <v>16</v>
      </c>
      <c r="C6" s="13"/>
      <c r="D6" s="13"/>
      <c r="E6" s="13"/>
      <c r="F6" s="13"/>
      <c r="G6" s="13"/>
      <c r="H6" s="13"/>
      <c r="I6" s="13"/>
      <c r="J6" s="13"/>
    </row>
    <row r="7" spans="2:10" x14ac:dyDescent="0.25">
      <c r="B7" s="23" t="s">
        <v>44</v>
      </c>
      <c r="C7" s="39">
        <v>1323.9</v>
      </c>
      <c r="D7" s="39">
        <v>1152.5</v>
      </c>
      <c r="E7" s="39">
        <v>1116.5999999999999</v>
      </c>
      <c r="F7" s="39">
        <v>1140.3</v>
      </c>
      <c r="G7" s="60">
        <v>1326.1</v>
      </c>
      <c r="H7" s="95">
        <v>1399.6</v>
      </c>
      <c r="I7" s="60">
        <v>1533</v>
      </c>
      <c r="J7" s="13">
        <v>1501</v>
      </c>
    </row>
    <row r="8" spans="2:10" x14ac:dyDescent="0.25">
      <c r="B8" s="24" t="s">
        <v>45</v>
      </c>
      <c r="C8" s="98">
        <f>C7/C5*100</f>
        <v>33.521547576847119</v>
      </c>
      <c r="D8" s="98">
        <f t="shared" ref="D8:J8" si="0">D7/D5*100</f>
        <v>32.18734290342401</v>
      </c>
      <c r="E8" s="98">
        <f t="shared" si="0"/>
        <v>31.580733659529937</v>
      </c>
      <c r="F8" s="98">
        <f t="shared" si="0"/>
        <v>31.688203418090872</v>
      </c>
      <c r="G8" s="98">
        <f t="shared" si="0"/>
        <v>34.116285052739897</v>
      </c>
      <c r="H8" s="182">
        <f t="shared" si="0"/>
        <v>33.73342974210653</v>
      </c>
      <c r="I8" s="98">
        <f t="shared" si="0"/>
        <v>35.924354978557872</v>
      </c>
      <c r="J8" s="98">
        <f t="shared" si="0"/>
        <v>34.742153504305165</v>
      </c>
    </row>
    <row r="9" spans="2:10" x14ac:dyDescent="0.25">
      <c r="B9" s="23" t="s">
        <v>48</v>
      </c>
      <c r="C9" s="39">
        <v>2429</v>
      </c>
      <c r="D9" s="39">
        <v>2250</v>
      </c>
      <c r="E9" s="39">
        <v>2214</v>
      </c>
      <c r="F9" s="39">
        <v>2233</v>
      </c>
      <c r="G9" s="60">
        <f>2210+148.5</f>
        <v>2358.5</v>
      </c>
      <c r="H9" s="95">
        <f>2381.3+175</f>
        <v>2556.3000000000002</v>
      </c>
      <c r="I9" s="60">
        <v>2532</v>
      </c>
      <c r="J9" s="13">
        <v>2629.7000000000003</v>
      </c>
    </row>
    <row r="10" spans="2:10" x14ac:dyDescent="0.25">
      <c r="B10" s="24" t="s">
        <v>45</v>
      </c>
      <c r="C10" s="98">
        <f t="shared" ref="C10:J10" si="1">C9/C5*100</f>
        <v>61.503013115916339</v>
      </c>
      <c r="D10" s="98">
        <f t="shared" si="1"/>
        <v>62.83863039714015</v>
      </c>
      <c r="E10" s="98">
        <f t="shared" si="1"/>
        <v>62.618434821958878</v>
      </c>
      <c r="F10" s="98">
        <f t="shared" si="1"/>
        <v>62.053633458385434</v>
      </c>
      <c r="G10" s="98">
        <f t="shared" si="1"/>
        <v>60.676614355544125</v>
      </c>
      <c r="H10" s="183">
        <f t="shared" si="1"/>
        <v>61.612436731742591</v>
      </c>
      <c r="I10" s="165">
        <f t="shared" si="1"/>
        <v>59.334942469477184</v>
      </c>
      <c r="J10" s="165">
        <f t="shared" si="1"/>
        <v>60.867049347282673</v>
      </c>
    </row>
    <row r="11" spans="2:10" x14ac:dyDescent="0.25">
      <c r="B11" s="23" t="s">
        <v>46</v>
      </c>
      <c r="C11" s="39">
        <v>0.4</v>
      </c>
      <c r="D11" s="39">
        <v>0.2</v>
      </c>
      <c r="E11" s="39">
        <v>0.4</v>
      </c>
      <c r="F11" s="39">
        <v>0.1</v>
      </c>
      <c r="G11" s="50">
        <v>0</v>
      </c>
      <c r="H11" s="58">
        <v>0</v>
      </c>
      <c r="I11" s="50">
        <v>0</v>
      </c>
      <c r="J11" s="13">
        <v>0.1</v>
      </c>
    </row>
    <row r="12" spans="2:10" x14ac:dyDescent="0.25">
      <c r="B12" s="23" t="s">
        <v>47</v>
      </c>
      <c r="C12" s="39">
        <v>43.2</v>
      </c>
      <c r="D12" s="98">
        <v>48.3</v>
      </c>
      <c r="E12" s="98">
        <v>55.5</v>
      </c>
      <c r="F12" s="39">
        <v>60</v>
      </c>
      <c r="G12" s="132">
        <v>63.5</v>
      </c>
      <c r="H12" s="95">
        <v>68.8</v>
      </c>
      <c r="I12" s="132">
        <v>76</v>
      </c>
      <c r="J12" s="13">
        <v>78.8</v>
      </c>
    </row>
    <row r="13" spans="2:10" x14ac:dyDescent="0.25">
      <c r="B13" s="14" t="s">
        <v>268</v>
      </c>
      <c r="C13" s="39">
        <v>152.9</v>
      </c>
      <c r="D13" s="39">
        <v>129.80000000000001</v>
      </c>
      <c r="E13" s="101">
        <v>149.1</v>
      </c>
      <c r="F13" s="39">
        <f>143+21.9</f>
        <v>164.9</v>
      </c>
      <c r="G13" s="101">
        <f>117.7+20.5</f>
        <v>138.19999999999999</v>
      </c>
      <c r="H13" s="94">
        <f>104.9+19.6</f>
        <v>124.5</v>
      </c>
      <c r="I13" s="101">
        <v>126.4</v>
      </c>
      <c r="J13" s="13">
        <v>110.8</v>
      </c>
    </row>
    <row r="14" spans="2:10" x14ac:dyDescent="0.25">
      <c r="B14" s="2"/>
      <c r="C14" s="39"/>
      <c r="D14" s="39"/>
      <c r="E14" s="39"/>
      <c r="F14" s="39"/>
      <c r="G14" s="42"/>
      <c r="H14" s="94"/>
      <c r="I14" s="42"/>
      <c r="J14" s="13"/>
    </row>
    <row r="15" spans="2:10" x14ac:dyDescent="0.25">
      <c r="B15" s="17" t="s">
        <v>42</v>
      </c>
      <c r="C15" s="39"/>
      <c r="D15" s="42"/>
      <c r="E15" s="42"/>
      <c r="F15" s="42"/>
      <c r="G15" s="42"/>
      <c r="H15" s="166"/>
      <c r="I15" s="42"/>
      <c r="J15" s="13"/>
    </row>
    <row r="16" spans="2:10" x14ac:dyDescent="0.25">
      <c r="B16" s="15" t="s">
        <v>30</v>
      </c>
      <c r="C16" s="98">
        <f>C9/Folkmängd!C5*100000</f>
        <v>52.14051966646381</v>
      </c>
      <c r="D16" s="98">
        <f>D9/Folkmängd!D5*100000</f>
        <v>47.902223259275786</v>
      </c>
      <c r="E16" s="98">
        <f>E9/Folkmängd!E5*100000</f>
        <v>46.640209126776895</v>
      </c>
      <c r="F16" s="98">
        <f>F9/Folkmängd!F5*100000</f>
        <v>46.645210844499744</v>
      </c>
      <c r="G16" s="98">
        <f>G9/Folkmängd!G5*100000</f>
        <v>48.925241981321903</v>
      </c>
      <c r="H16" s="98">
        <f>H9/Folkmängd!H5*100000</f>
        <v>52.722315731247569</v>
      </c>
      <c r="I16" s="98">
        <f>I9/Folkmängd!I5*100000</f>
        <v>51.995576679614224</v>
      </c>
      <c r="J16" s="13">
        <v>53.763232017265075</v>
      </c>
    </row>
    <row r="17" spans="2:10" x14ac:dyDescent="0.25">
      <c r="B17" s="15" t="s">
        <v>31</v>
      </c>
      <c r="C17" s="98">
        <f>C9/Folkmängd!C6*100000</f>
        <v>43.1650713005588</v>
      </c>
      <c r="D17" s="98">
        <f>D9/Folkmängd!D6*100000</f>
        <v>39.754651956856485</v>
      </c>
      <c r="E17" s="98">
        <f>E9/Folkmängd!E6*100000</f>
        <v>38.792756793069024</v>
      </c>
      <c r="F17" s="98">
        <f>F9/Folkmängd!F6*100000</f>
        <v>38.843098409416001</v>
      </c>
      <c r="G17" s="98">
        <f>G9/Folkmängd!G6*100000</f>
        <v>40.796099073028216</v>
      </c>
      <c r="H17" s="98">
        <f>H9/Folkmängd!H6*100000</f>
        <v>44.027976874590628</v>
      </c>
      <c r="I17" s="98">
        <f>I9/Folkmängd!I6*100000</f>
        <v>43.484510703939002</v>
      </c>
      <c r="J17" s="13">
        <v>45.028762620835977</v>
      </c>
    </row>
    <row r="18" spans="2:10" x14ac:dyDescent="0.25">
      <c r="B18" s="17"/>
      <c r="C18" s="39"/>
      <c r="D18" s="101"/>
      <c r="E18" s="42"/>
      <c r="F18" s="42"/>
      <c r="G18" s="42"/>
      <c r="H18" s="166"/>
      <c r="I18" s="42"/>
      <c r="J18" s="13"/>
    </row>
    <row r="19" spans="2:10" x14ac:dyDescent="0.25">
      <c r="B19" s="17" t="s">
        <v>43</v>
      </c>
      <c r="C19" s="39"/>
      <c r="D19" s="42"/>
      <c r="E19" s="42"/>
      <c r="F19" s="42"/>
      <c r="G19" s="42"/>
      <c r="H19" s="166"/>
      <c r="I19" s="42"/>
      <c r="J19" s="13"/>
    </row>
    <row r="20" spans="2:10" x14ac:dyDescent="0.25">
      <c r="B20" s="15" t="s">
        <v>30</v>
      </c>
      <c r="C20" s="98">
        <f>C5/Folkmängd!C5*100000</f>
        <v>84.777179238671138</v>
      </c>
      <c r="D20" s="98">
        <f>D5/Folkmängd!D5*100000</f>
        <v>76.23053360096128</v>
      </c>
      <c r="E20" s="98">
        <f>E5/Folkmängd!E5*100000</f>
        <v>74.483192145232636</v>
      </c>
      <c r="F20" s="98">
        <f>F5/Folkmängd!F5*100000</f>
        <v>75.16918550108926</v>
      </c>
      <c r="G20" s="98">
        <f>G5/Folkmängd!G5*100000</f>
        <v>80.632781675386155</v>
      </c>
      <c r="H20" s="98">
        <f>H5/Folkmängd!H5*100000</f>
        <v>85.570898552183294</v>
      </c>
      <c r="I20" s="98">
        <f>I5/Folkmängd!I5*100000</f>
        <v>87.630617837645246</v>
      </c>
      <c r="J20" s="13">
        <v>88.328960568654978</v>
      </c>
    </row>
    <row r="21" spans="2:10" x14ac:dyDescent="0.25">
      <c r="B21" s="15" t="s">
        <v>31</v>
      </c>
      <c r="C21" s="98">
        <f>C5/Folkmängd!C6*100000</f>
        <v>70.183669244309158</v>
      </c>
      <c r="D21" s="98">
        <f>D5/Folkmängd!D6*100000</f>
        <v>63.264669687431251</v>
      </c>
      <c r="E21" s="98">
        <f>E5/Folkmängd!E6*100000</f>
        <v>61.951016347449929</v>
      </c>
      <c r="F21" s="98">
        <f>F5/Folkmängd!F6*100000</f>
        <v>62.596009684856014</v>
      </c>
      <c r="G21" s="98">
        <f>G5/Folkmängd!G6*100000</f>
        <v>67.235292387899378</v>
      </c>
      <c r="H21" s="98">
        <f>H5/Folkmängd!H6*100000</f>
        <v>71.459561104986307</v>
      </c>
      <c r="I21" s="98">
        <f>I5/Folkmängd!I6*100000</f>
        <v>73.286513636223901</v>
      </c>
      <c r="J21" s="13">
        <v>73.978882012039278</v>
      </c>
    </row>
    <row r="22" spans="2:10" x14ac:dyDescent="0.25">
      <c r="B22" s="10"/>
    </row>
    <row r="23" spans="2:10" x14ac:dyDescent="0.25">
      <c r="B23" s="89" t="s">
        <v>242</v>
      </c>
    </row>
    <row r="24" spans="2:10" x14ac:dyDescent="0.25">
      <c r="B24" s="89" t="s">
        <v>267</v>
      </c>
    </row>
    <row r="26" spans="2:10" x14ac:dyDescent="0.25">
      <c r="B26" s="9"/>
    </row>
    <row r="27" spans="2:10" x14ac:dyDescent="0.25">
      <c r="B27" s="10"/>
    </row>
    <row r="28" spans="2:10" x14ac:dyDescent="0.25">
      <c r="B28" s="6"/>
    </row>
    <row r="29" spans="2:10" x14ac:dyDescent="0.25">
      <c r="B29" s="6"/>
    </row>
    <row r="30" spans="2:10" ht="18.75" x14ac:dyDescent="0.3">
      <c r="B30" s="18" t="s">
        <v>38</v>
      </c>
      <c r="C30" s="19">
        <v>2014</v>
      </c>
      <c r="D30" s="19">
        <v>2015</v>
      </c>
      <c r="E30" s="19">
        <v>2016</v>
      </c>
      <c r="F30" s="19">
        <v>2017</v>
      </c>
      <c r="G30" s="19">
        <v>2018</v>
      </c>
      <c r="H30" s="19">
        <v>2019</v>
      </c>
      <c r="I30" s="19">
        <v>2020</v>
      </c>
      <c r="J30" s="19">
        <v>2021</v>
      </c>
    </row>
    <row r="31" spans="2:10" x14ac:dyDescent="0.25">
      <c r="B31" s="2" t="s">
        <v>241</v>
      </c>
      <c r="C31" s="39">
        <v>2929</v>
      </c>
      <c r="D31" s="13">
        <f>SUM(D33,D35,D37)</f>
        <v>2859</v>
      </c>
      <c r="E31" s="13">
        <f>SUM(E33,E35,E37)</f>
        <v>2917</v>
      </c>
      <c r="F31" s="13">
        <f>SUM(F33,F35,F37)</f>
        <v>2821</v>
      </c>
      <c r="G31" s="13">
        <v>2703</v>
      </c>
      <c r="H31" s="13">
        <v>2736</v>
      </c>
      <c r="I31" s="13">
        <v>2573</v>
      </c>
      <c r="J31" s="13">
        <v>2596</v>
      </c>
    </row>
    <row r="32" spans="2:10" x14ac:dyDescent="0.25">
      <c r="B32" s="2" t="s">
        <v>16</v>
      </c>
      <c r="C32" s="13"/>
      <c r="D32" s="2"/>
      <c r="E32" s="2"/>
      <c r="F32" s="2"/>
      <c r="G32" s="13"/>
      <c r="H32" s="13"/>
      <c r="I32" s="13"/>
      <c r="J32" s="13"/>
    </row>
    <row r="33" spans="2:10" x14ac:dyDescent="0.25">
      <c r="B33" s="14" t="s">
        <v>270</v>
      </c>
      <c r="C33" s="2">
        <v>619</v>
      </c>
      <c r="D33" s="2">
        <v>597</v>
      </c>
      <c r="E33" s="2">
        <v>585</v>
      </c>
      <c r="F33" s="2">
        <v>597</v>
      </c>
      <c r="G33" s="13">
        <v>547</v>
      </c>
      <c r="H33" s="13">
        <v>639</v>
      </c>
      <c r="I33" s="13">
        <v>632</v>
      </c>
      <c r="J33" s="13">
        <v>603</v>
      </c>
    </row>
    <row r="34" spans="2:10" x14ac:dyDescent="0.25">
      <c r="B34" s="16" t="s">
        <v>45</v>
      </c>
      <c r="C34" s="36">
        <f t="shared" ref="C34:H34" si="2">C33/C31*100</f>
        <v>21.133492659610788</v>
      </c>
      <c r="D34" s="36">
        <f t="shared" si="2"/>
        <v>20.881427072402939</v>
      </c>
      <c r="E34" s="36">
        <f t="shared" si="2"/>
        <v>20.054850874185806</v>
      </c>
      <c r="F34" s="36">
        <f t="shared" si="2"/>
        <v>21.16270825948245</v>
      </c>
      <c r="G34" s="98">
        <f t="shared" si="2"/>
        <v>20.236773954864965</v>
      </c>
      <c r="H34" s="98">
        <f t="shared" si="2"/>
        <v>23.355263157894736</v>
      </c>
      <c r="I34" s="98">
        <f t="shared" ref="I34:J34" si="3">I33/I31*100</f>
        <v>24.56276719782355</v>
      </c>
      <c r="J34" s="98">
        <f t="shared" si="3"/>
        <v>23.228043143297381</v>
      </c>
    </row>
    <row r="35" spans="2:10" x14ac:dyDescent="0.25">
      <c r="B35" s="14" t="s">
        <v>48</v>
      </c>
      <c r="C35" s="39">
        <v>2257</v>
      </c>
      <c r="D35" s="39">
        <v>2210</v>
      </c>
      <c r="E35" s="39">
        <v>2275</v>
      </c>
      <c r="F35" s="39">
        <v>2169</v>
      </c>
      <c r="G35" s="13">
        <v>2097</v>
      </c>
      <c r="H35" s="13">
        <v>2031</v>
      </c>
      <c r="I35" s="13">
        <v>1877</v>
      </c>
      <c r="J35" s="13">
        <v>1974</v>
      </c>
    </row>
    <row r="36" spans="2:10" x14ac:dyDescent="0.25">
      <c r="B36" s="16" t="s">
        <v>45</v>
      </c>
      <c r="C36" s="36">
        <f t="shared" ref="C36:H36" si="4">C35/C31*100</f>
        <v>77.057016046432224</v>
      </c>
      <c r="D36" s="36">
        <f t="shared" si="4"/>
        <v>77.299755159146557</v>
      </c>
      <c r="E36" s="36">
        <f t="shared" si="4"/>
        <v>77.991086732944808</v>
      </c>
      <c r="F36" s="36">
        <f t="shared" si="4"/>
        <v>76.887628500531719</v>
      </c>
      <c r="G36" s="98">
        <f t="shared" si="4"/>
        <v>77.58046614872363</v>
      </c>
      <c r="H36" s="98">
        <f t="shared" si="4"/>
        <v>74.232456140350877</v>
      </c>
      <c r="I36" s="98">
        <f t="shared" ref="I36:J36" si="5">I35/I31*100</f>
        <v>72.949863972017098</v>
      </c>
      <c r="J36" s="98">
        <f t="shared" si="5"/>
        <v>76.040061633281979</v>
      </c>
    </row>
    <row r="37" spans="2:10" x14ac:dyDescent="0.25">
      <c r="B37" s="14" t="s">
        <v>46</v>
      </c>
      <c r="C37" s="2">
        <v>52</v>
      </c>
      <c r="D37" s="2">
        <v>52</v>
      </c>
      <c r="E37" s="2">
        <v>57</v>
      </c>
      <c r="F37" s="2">
        <v>55</v>
      </c>
      <c r="G37" s="13">
        <v>59</v>
      </c>
      <c r="H37" s="13">
        <v>66</v>
      </c>
      <c r="I37" s="13">
        <v>63</v>
      </c>
      <c r="J37" s="13">
        <v>20</v>
      </c>
    </row>
    <row r="38" spans="2:10" x14ac:dyDescent="0.25">
      <c r="B38" s="14" t="s">
        <v>47</v>
      </c>
      <c r="C38" s="2"/>
      <c r="D38" s="2"/>
      <c r="E38" s="2"/>
      <c r="F38" s="2"/>
      <c r="G38" s="2"/>
      <c r="H38" s="2"/>
      <c r="I38" s="2"/>
      <c r="J38" s="2"/>
    </row>
    <row r="39" spans="2:10" x14ac:dyDescent="0.25">
      <c r="B39" s="14" t="s">
        <v>49</v>
      </c>
      <c r="C39" s="2"/>
      <c r="D39" s="2"/>
      <c r="E39" s="2"/>
      <c r="F39" s="2"/>
      <c r="G39" s="2"/>
      <c r="H39" s="2"/>
      <c r="I39" s="2"/>
      <c r="J39" s="2"/>
    </row>
    <row r="40" spans="2:10" x14ac:dyDescent="0.25">
      <c r="B40" s="2"/>
      <c r="C40" s="2"/>
      <c r="D40" s="2"/>
      <c r="E40" s="2"/>
      <c r="F40" s="2"/>
      <c r="G40" s="2"/>
      <c r="H40" s="2"/>
      <c r="I40" s="2"/>
      <c r="J40" s="2"/>
    </row>
    <row r="41" spans="2:10" x14ac:dyDescent="0.25">
      <c r="B41" s="17" t="s">
        <v>42</v>
      </c>
      <c r="C41" s="2"/>
      <c r="D41" s="2"/>
      <c r="E41" s="2"/>
      <c r="F41" s="2"/>
      <c r="G41" s="2"/>
      <c r="H41" s="2"/>
      <c r="I41" s="2"/>
      <c r="J41" s="2"/>
    </row>
    <row r="42" spans="2:10" x14ac:dyDescent="0.25">
      <c r="B42" s="15" t="s">
        <v>30</v>
      </c>
      <c r="C42" s="36">
        <f>C35/Folkmängd!C11*100000</f>
        <v>49.536362038159027</v>
      </c>
      <c r="D42" s="36">
        <f>D35/Folkmängd!D11*100000</f>
        <v>48.304479967301582</v>
      </c>
      <c r="E42" s="36">
        <f>E35/Folkmängd!E11*100000</f>
        <v>49.550398200068173</v>
      </c>
      <c r="F42" s="36">
        <f>F35/Folkmängd!F11*100000</f>
        <v>47.058884789045365</v>
      </c>
      <c r="G42" s="36">
        <f>G35/Folkmängd!G11*100000</f>
        <v>45.363040608682446</v>
      </c>
      <c r="H42" s="36">
        <f>H35/Folkmängd!H11*100000</f>
        <v>43.812295270278284</v>
      </c>
      <c r="I42" s="36">
        <f>I35/Folkmängd!I11*100000</f>
        <v>40.328679814775981</v>
      </c>
      <c r="J42" s="36">
        <f>J35/Folkmängd!J11*100000</f>
        <v>42.243285372010547</v>
      </c>
    </row>
    <row r="43" spans="2:10" x14ac:dyDescent="0.25">
      <c r="B43" s="15" t="s">
        <v>31</v>
      </c>
      <c r="C43" s="36">
        <f>C35/Folkmängd!C12*100000</f>
        <v>41.403195952502813</v>
      </c>
      <c r="D43" s="36">
        <f>D35/Folkmängd!D12*100000</f>
        <v>40.389250026454043</v>
      </c>
      <c r="E43" s="36">
        <f>E35/Folkmängd!E12*100000</f>
        <v>41.459309373558035</v>
      </c>
      <c r="F43" s="36">
        <f>F35/Folkmängd!F12*100000</f>
        <v>39.412737491725416</v>
      </c>
      <c r="G43" s="36">
        <f>G35/Folkmängd!G12*100000</f>
        <v>38.036469301467584</v>
      </c>
      <c r="H43" s="36">
        <f>H35/Folkmängd!H12*100000</f>
        <v>36.807354366745869</v>
      </c>
      <c r="I43" s="36">
        <f>I35/Folkmängd!I12*100000</f>
        <v>33.971055285403921</v>
      </c>
      <c r="J43" s="36">
        <f>J35/Folkmängd!J12*100000</f>
        <v>35.671735462457669</v>
      </c>
    </row>
    <row r="44" spans="2:10" x14ac:dyDescent="0.25">
      <c r="B44" s="17"/>
      <c r="C44" s="2"/>
      <c r="D44" s="2"/>
      <c r="E44" s="2"/>
      <c r="F44" s="38"/>
      <c r="G44" s="38"/>
      <c r="H44" s="38"/>
      <c r="I44" s="38"/>
      <c r="J44" s="38"/>
    </row>
    <row r="45" spans="2:10" x14ac:dyDescent="0.25">
      <c r="B45" s="17" t="s">
        <v>43</v>
      </c>
      <c r="C45" s="2"/>
      <c r="D45" s="2"/>
      <c r="E45" s="2"/>
      <c r="F45" s="38"/>
      <c r="G45" s="38"/>
      <c r="H45" s="38"/>
      <c r="I45" s="38"/>
      <c r="J45" s="38"/>
    </row>
    <row r="46" spans="2:10" x14ac:dyDescent="0.25">
      <c r="B46" s="15" t="s">
        <v>30</v>
      </c>
      <c r="C46" s="36">
        <f>C31/Folkmängd!C11*100000</f>
        <v>64.285336468660958</v>
      </c>
      <c r="D46" s="36">
        <f>D31/Folkmängd!D11*100000</f>
        <v>62.489822726929965</v>
      </c>
      <c r="E46" s="36">
        <f>E31/Folkmängd!E11*100000</f>
        <v>63.533411670153342</v>
      </c>
      <c r="F46" s="36">
        <f>F31/Folkmängd!F11*100000</f>
        <v>61.204755182064069</v>
      </c>
      <c r="G46" s="36">
        <f>G31/Folkmängd!G11*100000</f>
        <v>58.472245476999831</v>
      </c>
      <c r="H46" s="36">
        <f>H31/Folkmängd!H11*100000</f>
        <v>59.020403672812108</v>
      </c>
      <c r="I46" s="36">
        <f>I31/Folkmängd!I11*100000</f>
        <v>55.282734770068515</v>
      </c>
      <c r="J46" s="36">
        <f>J31/Folkmängd!J11*100000</f>
        <v>55.553986233910528</v>
      </c>
    </row>
    <row r="47" spans="2:10" x14ac:dyDescent="0.25">
      <c r="B47" s="15" t="s">
        <v>31</v>
      </c>
      <c r="C47" s="36">
        <f>C31/Folkmängd!C12*100000</f>
        <v>53.730598557767273</v>
      </c>
      <c r="D47" s="36">
        <f>D31/Folkmängd!D12*100000</f>
        <v>52.250165531960235</v>
      </c>
      <c r="E47" s="36">
        <f>E31/Folkmängd!E12*100000</f>
        <v>53.159035359414851</v>
      </c>
      <c r="F47" s="36">
        <f>F31/Folkmängd!F12*100000</f>
        <v>51.260180942442325</v>
      </c>
      <c r="G47" s="36">
        <f>G31/Folkmängd!G12*100000</f>
        <v>49.028410358544058</v>
      </c>
      <c r="H47" s="36">
        <f>H31/Folkmängd!H12*100000</f>
        <v>49.583910166133286</v>
      </c>
      <c r="I47" s="36">
        <f>I31/Folkmängd!I12*100000</f>
        <v>46.567674613396001</v>
      </c>
      <c r="J47" s="36">
        <f>J31/Folkmängd!J12*100000</f>
        <v>46.911765582847067</v>
      </c>
    </row>
    <row r="48" spans="2:10" x14ac:dyDescent="0.25">
      <c r="B48" s="10"/>
      <c r="C48" s="36"/>
      <c r="D48" s="36"/>
      <c r="E48" s="36"/>
      <c r="F48" s="36"/>
    </row>
    <row r="49" spans="2:16" x14ac:dyDescent="0.25">
      <c r="B49" s="89" t="s">
        <v>269</v>
      </c>
      <c r="C49" s="36"/>
      <c r="D49" s="36"/>
      <c r="E49" s="36"/>
      <c r="F49" s="36"/>
    </row>
    <row r="50" spans="2:16" x14ac:dyDescent="0.25">
      <c r="B50" s="89" t="s">
        <v>345</v>
      </c>
    </row>
    <row r="51" spans="2:16" x14ac:dyDescent="0.25">
      <c r="B51" s="9"/>
    </row>
    <row r="52" spans="2:16" x14ac:dyDescent="0.25">
      <c r="B52" s="9"/>
    </row>
    <row r="53" spans="2:16" x14ac:dyDescent="0.25">
      <c r="B53" s="10"/>
    </row>
    <row r="54" spans="2:16" x14ac:dyDescent="0.25">
      <c r="B54" s="6"/>
    </row>
    <row r="56" spans="2:16" ht="18.75" x14ac:dyDescent="0.3">
      <c r="B56" s="18" t="s">
        <v>39</v>
      </c>
      <c r="C56" s="19">
        <v>2014</v>
      </c>
      <c r="D56" s="19">
        <v>2015</v>
      </c>
      <c r="E56" s="19">
        <v>2016</v>
      </c>
      <c r="F56" s="19">
        <v>2017</v>
      </c>
      <c r="G56" s="19">
        <v>2018</v>
      </c>
      <c r="H56" s="19">
        <v>2019</v>
      </c>
      <c r="I56" s="19">
        <v>2020</v>
      </c>
      <c r="J56" s="19">
        <v>2021</v>
      </c>
    </row>
    <row r="57" spans="2:16" x14ac:dyDescent="0.25">
      <c r="B57" s="2" t="s">
        <v>241</v>
      </c>
      <c r="C57" s="100">
        <v>182</v>
      </c>
      <c r="D57" s="100">
        <v>174.8</v>
      </c>
      <c r="E57" s="100">
        <v>147.6</v>
      </c>
      <c r="F57" s="100">
        <v>162.6</v>
      </c>
      <c r="G57" s="100">
        <v>164.2</v>
      </c>
      <c r="H57" s="101">
        <v>182.4</v>
      </c>
      <c r="I57" s="100">
        <v>152.19999999999999</v>
      </c>
      <c r="J57" s="101">
        <v>158.4</v>
      </c>
      <c r="K57" s="124"/>
      <c r="L57" s="172"/>
    </row>
    <row r="58" spans="2:16" x14ac:dyDescent="0.25">
      <c r="B58" s="2" t="s">
        <v>16</v>
      </c>
      <c r="C58" s="2"/>
      <c r="D58" s="2"/>
      <c r="E58" s="2"/>
      <c r="F58" s="2"/>
      <c r="G58" s="2"/>
      <c r="H58" s="42"/>
      <c r="I58" s="2"/>
      <c r="J58" s="42"/>
      <c r="K58" s="124"/>
    </row>
    <row r="59" spans="2:16" x14ac:dyDescent="0.25">
      <c r="B59" s="14" t="s">
        <v>44</v>
      </c>
      <c r="C59" s="100">
        <v>12</v>
      </c>
      <c r="D59" s="100">
        <v>16.899999999999999</v>
      </c>
      <c r="E59" s="100">
        <v>18</v>
      </c>
      <c r="F59" s="100">
        <v>24</v>
      </c>
      <c r="G59" s="100">
        <v>25.7</v>
      </c>
      <c r="H59" s="101">
        <v>29.9</v>
      </c>
      <c r="I59" s="100">
        <v>27.1</v>
      </c>
      <c r="J59" s="101">
        <v>19.2</v>
      </c>
      <c r="K59" s="124"/>
      <c r="L59" s="173"/>
      <c r="M59" s="99"/>
      <c r="N59" s="99"/>
      <c r="O59" s="99"/>
      <c r="P59" s="99"/>
    </row>
    <row r="60" spans="2:16" x14ac:dyDescent="0.25">
      <c r="B60" s="16" t="s">
        <v>45</v>
      </c>
      <c r="C60" s="112">
        <f t="shared" ref="C60:H60" si="6">C59/C57*100</f>
        <v>6.593406593406594</v>
      </c>
      <c r="D60" s="112">
        <f t="shared" si="6"/>
        <v>9.6681922196796322</v>
      </c>
      <c r="E60" s="112">
        <f t="shared" si="6"/>
        <v>12.195121951219514</v>
      </c>
      <c r="F60" s="112">
        <f t="shared" si="6"/>
        <v>14.760147601476014</v>
      </c>
      <c r="G60" s="112">
        <f t="shared" si="6"/>
        <v>15.651644336175396</v>
      </c>
      <c r="H60" s="36">
        <f t="shared" si="6"/>
        <v>16.392543859649123</v>
      </c>
      <c r="I60" s="112">
        <f t="shared" ref="I60:J60" si="7">I59/I57*100</f>
        <v>17.80551905387648</v>
      </c>
      <c r="J60" s="36">
        <f t="shared" si="7"/>
        <v>12.121212121212119</v>
      </c>
      <c r="K60" s="124"/>
    </row>
    <row r="61" spans="2:16" x14ac:dyDescent="0.25">
      <c r="B61" s="14" t="s">
        <v>48</v>
      </c>
      <c r="C61" s="100">
        <v>142</v>
      </c>
      <c r="D61" s="100">
        <v>134.69999999999999</v>
      </c>
      <c r="E61" s="100">
        <v>109.6</v>
      </c>
      <c r="F61" s="100">
        <v>117.5</v>
      </c>
      <c r="G61" s="100">
        <v>119.2</v>
      </c>
      <c r="H61" s="101">
        <v>129</v>
      </c>
      <c r="I61" s="100">
        <v>107</v>
      </c>
      <c r="J61" s="101">
        <v>121.6</v>
      </c>
      <c r="K61" s="124"/>
      <c r="L61" s="172"/>
    </row>
    <row r="62" spans="2:16" x14ac:dyDescent="0.25">
      <c r="B62" s="16" t="s">
        <v>45</v>
      </c>
      <c r="C62" s="112">
        <f t="shared" ref="C62:H62" si="8">C61/C57*100</f>
        <v>78.021978021978029</v>
      </c>
      <c r="D62" s="112">
        <f t="shared" si="8"/>
        <v>77.059496567505718</v>
      </c>
      <c r="E62" s="112">
        <f t="shared" si="8"/>
        <v>74.254742547425479</v>
      </c>
      <c r="F62" s="112">
        <f t="shared" si="8"/>
        <v>72.263222632226316</v>
      </c>
      <c r="G62" s="112">
        <f t="shared" si="8"/>
        <v>72.594397076735689</v>
      </c>
      <c r="H62" s="36">
        <f t="shared" si="8"/>
        <v>70.723684210526315</v>
      </c>
      <c r="I62" s="112">
        <f t="shared" ref="I62:J62" si="9">I61/I57*100</f>
        <v>70.302233902759539</v>
      </c>
      <c r="J62" s="36">
        <f t="shared" si="9"/>
        <v>76.767676767676761</v>
      </c>
      <c r="K62" s="124"/>
    </row>
    <row r="63" spans="2:16" x14ac:dyDescent="0.25">
      <c r="B63" s="14" t="s">
        <v>46</v>
      </c>
      <c r="C63" s="100">
        <v>3</v>
      </c>
      <c r="D63" s="100">
        <v>2.4</v>
      </c>
      <c r="E63" s="100">
        <v>1.9</v>
      </c>
      <c r="F63" s="100">
        <v>2.8</v>
      </c>
      <c r="G63" s="100">
        <v>0.9</v>
      </c>
      <c r="H63" s="101">
        <v>5</v>
      </c>
      <c r="I63" s="100">
        <v>1.5</v>
      </c>
      <c r="J63" s="101">
        <v>1.3</v>
      </c>
      <c r="K63" s="124"/>
      <c r="L63" s="172"/>
    </row>
    <row r="64" spans="2:16" x14ac:dyDescent="0.25">
      <c r="B64" s="14" t="s">
        <v>47</v>
      </c>
      <c r="C64" s="100"/>
      <c r="D64" s="100"/>
      <c r="E64" s="100"/>
      <c r="F64" s="100"/>
      <c r="G64" s="100"/>
      <c r="H64" s="100"/>
      <c r="I64" s="100"/>
      <c r="J64" s="100"/>
    </row>
    <row r="65" spans="2:12" x14ac:dyDescent="0.25">
      <c r="B65" s="14" t="s">
        <v>268</v>
      </c>
      <c r="C65" s="100">
        <v>25</v>
      </c>
      <c r="D65" s="100">
        <v>20.8</v>
      </c>
      <c r="E65" s="100">
        <v>18.100000000000001</v>
      </c>
      <c r="F65" s="100">
        <v>18.3</v>
      </c>
      <c r="G65" s="100">
        <v>18.399999999999999</v>
      </c>
      <c r="H65" s="100">
        <v>18.5</v>
      </c>
      <c r="I65" s="100">
        <v>16.600000000000001</v>
      </c>
      <c r="J65" s="100">
        <v>16.3</v>
      </c>
      <c r="L65" s="172"/>
    </row>
    <row r="66" spans="2:12" x14ac:dyDescent="0.25">
      <c r="B66" s="2"/>
      <c r="C66" s="100"/>
      <c r="D66" s="100"/>
      <c r="E66" s="100"/>
      <c r="F66" s="100"/>
      <c r="G66" s="100"/>
      <c r="H66" s="100"/>
      <c r="I66" s="100"/>
      <c r="J66" s="100"/>
    </row>
    <row r="67" spans="2:12" x14ac:dyDescent="0.25">
      <c r="B67" s="17" t="s">
        <v>42</v>
      </c>
      <c r="C67" s="100"/>
      <c r="D67" s="100"/>
      <c r="E67" s="100"/>
      <c r="F67" s="100"/>
      <c r="G67" s="100"/>
      <c r="H67" s="100"/>
      <c r="I67" s="100"/>
      <c r="J67" s="100"/>
    </row>
    <row r="68" spans="2:12" x14ac:dyDescent="0.25">
      <c r="B68" s="15" t="s">
        <v>30</v>
      </c>
      <c r="C68" s="112">
        <f>C61/Folkmängd!C17*100000</f>
        <v>54.855482844140894</v>
      </c>
      <c r="D68" s="112">
        <f>D61/Folkmängd!D17*100000</f>
        <v>51.392990408167933</v>
      </c>
      <c r="E68" s="112">
        <f>E61/Folkmängd!E17*100000</f>
        <v>41.204711473030841</v>
      </c>
      <c r="F68" s="112">
        <f>F61/Folkmängd!F17*100000</f>
        <v>43.272825034157911</v>
      </c>
      <c r="G68" s="112">
        <f>G61/Folkmängd!G17*100000</f>
        <v>42.413438512967765</v>
      </c>
      <c r="H68" s="112">
        <v>42.880756914522053</v>
      </c>
      <c r="I68" s="112">
        <f>I61/Folkmängd!I17*100000</f>
        <v>36.159032154503826</v>
      </c>
      <c r="J68" s="112">
        <f>J61/Folkmängd!J17*100000</f>
        <v>40.559967712130963</v>
      </c>
    </row>
    <row r="69" spans="2:12" x14ac:dyDescent="0.25">
      <c r="B69" s="15" t="s">
        <v>31</v>
      </c>
      <c r="C69" s="112">
        <f>C61/Folkmängd!C18*100000</f>
        <v>43.602285742359619</v>
      </c>
      <c r="D69" s="112">
        <f>D61/Folkmängd!D18*100000</f>
        <v>40.929808568824065</v>
      </c>
      <c r="E69" s="112">
        <f>E61/Folkmängd!E18*100000</f>
        <v>32.959531349145486</v>
      </c>
      <c r="F69" s="112">
        <f>F61/Folkmängd!F18*100000</f>
        <v>34.727455970019122</v>
      </c>
      <c r="G69" s="112">
        <f>G61/Folkmängd!G18*100000</f>
        <v>34.208638255129863</v>
      </c>
      <c r="H69" s="112">
        <v>34.73476922387399</v>
      </c>
      <c r="I69" s="112">
        <f>I61/Folkmängd!I18*100000</f>
        <v>29.384786919101209</v>
      </c>
      <c r="J69" s="112">
        <f>J61/Folkmängd!J18*100000</f>
        <v>32.972515672791161</v>
      </c>
    </row>
    <row r="70" spans="2:12" x14ac:dyDescent="0.25">
      <c r="B70" s="17"/>
      <c r="C70" s="112"/>
      <c r="D70" s="112"/>
      <c r="E70" s="112"/>
      <c r="F70" s="112"/>
      <c r="G70" s="112"/>
      <c r="H70" s="112"/>
      <c r="I70" s="112"/>
      <c r="J70" s="112"/>
    </row>
    <row r="71" spans="2:12" x14ac:dyDescent="0.25">
      <c r="B71" s="17" t="s">
        <v>43</v>
      </c>
      <c r="C71" s="112"/>
      <c r="D71" s="112"/>
      <c r="E71" s="112"/>
      <c r="F71" s="112"/>
      <c r="G71" s="112"/>
      <c r="H71" s="112"/>
      <c r="I71" s="112"/>
      <c r="J71" s="112"/>
    </row>
    <row r="72" spans="2:12" x14ac:dyDescent="0.25">
      <c r="B72" s="15" t="s">
        <v>30</v>
      </c>
      <c r="C72" s="112">
        <f>C57/Folkmängd!C17*100000</f>
        <v>70.307731532631294</v>
      </c>
      <c r="D72" s="112">
        <f>D57/Folkmängd!D17*100000</f>
        <v>66.692611160710882</v>
      </c>
      <c r="E72" s="112">
        <f>E57/Folkmängd!E17*100000</f>
        <v>55.491016545797009</v>
      </c>
      <c r="F72" s="112">
        <f>F57/Folkmängd!F17*100000</f>
        <v>59.88222426003469</v>
      </c>
      <c r="G72" s="112">
        <f>G57/Folkmängd!G17*100000</f>
        <v>58.425223186487472</v>
      </c>
      <c r="H72" s="112">
        <v>60.966753580889012</v>
      </c>
      <c r="I72" s="112">
        <f>I57/Folkmängd!I17*100000</f>
        <v>51.433688728182069</v>
      </c>
      <c r="J72" s="112">
        <f>J57/Folkmängd!J17*100000</f>
        <v>52.834694782907441</v>
      </c>
    </row>
    <row r="73" spans="2:12" x14ac:dyDescent="0.25">
      <c r="B73" s="15" t="s">
        <v>31</v>
      </c>
      <c r="C73" s="112">
        <f>C57/Folkmängd!C18*100000</f>
        <v>55.884619754291911</v>
      </c>
      <c r="D73" s="112">
        <f>D57/Folkmängd!D18*100000</f>
        <v>53.114554846551208</v>
      </c>
      <c r="E73" s="112">
        <f>E57/Folkmängd!E18*100000</f>
        <v>44.387106086987899</v>
      </c>
      <c r="F73" s="112">
        <f>F57/Folkmängd!F18*100000</f>
        <v>48.056888006171143</v>
      </c>
      <c r="G73" s="112">
        <f>G57/Folkmängd!G18*100000</f>
        <v>47.122973166881906</v>
      </c>
      <c r="H73" s="112">
        <v>49.38499850136278</v>
      </c>
      <c r="I73" s="112">
        <f>I57/Folkmängd!I18*100000</f>
        <v>41.797799711095365</v>
      </c>
      <c r="J73" s="112">
        <f>J57/Folkmängd!J18*100000</f>
        <v>42.95104015271481</v>
      </c>
    </row>
    <row r="74" spans="2:12" x14ac:dyDescent="0.25">
      <c r="B74" s="10"/>
      <c r="C74" s="112"/>
      <c r="D74" s="112"/>
      <c r="E74" s="112"/>
      <c r="F74" s="112"/>
      <c r="G74" s="112"/>
      <c r="H74" s="112"/>
      <c r="I74" s="112"/>
    </row>
    <row r="75" spans="2:12" x14ac:dyDescent="0.25">
      <c r="B75" s="9" t="s">
        <v>271</v>
      </c>
      <c r="C75" s="112"/>
      <c r="D75" s="112"/>
      <c r="E75" s="112"/>
      <c r="F75" s="112"/>
      <c r="G75" s="112"/>
      <c r="H75" s="112"/>
      <c r="I75" s="112"/>
    </row>
    <row r="76" spans="2:12" x14ac:dyDescent="0.25">
      <c r="B76" s="9" t="s">
        <v>272</v>
      </c>
      <c r="C76" s="112"/>
      <c r="D76" s="112"/>
      <c r="E76" s="112"/>
      <c r="F76" s="112"/>
      <c r="G76" s="112"/>
      <c r="H76" s="112"/>
      <c r="I76" s="112"/>
    </row>
    <row r="77" spans="2:12" x14ac:dyDescent="0.25">
      <c r="B77" s="9"/>
      <c r="C77" s="112"/>
      <c r="D77" s="112"/>
      <c r="E77" s="112"/>
      <c r="F77" s="112"/>
      <c r="G77" s="112"/>
      <c r="H77" s="112"/>
      <c r="I77" s="112"/>
    </row>
    <row r="78" spans="2:12" x14ac:dyDescent="0.25">
      <c r="B78" s="9"/>
      <c r="C78" s="112"/>
      <c r="D78" s="112"/>
      <c r="E78" s="112"/>
      <c r="F78" s="112"/>
      <c r="G78" s="112"/>
      <c r="H78" s="112"/>
      <c r="I78" s="112"/>
    </row>
    <row r="79" spans="2:12" x14ac:dyDescent="0.25">
      <c r="B79" s="10"/>
    </row>
    <row r="80" spans="2:12" x14ac:dyDescent="0.25">
      <c r="B80" s="6"/>
    </row>
    <row r="82" spans="2:11" ht="18.75" x14ac:dyDescent="0.3">
      <c r="B82" s="18" t="s">
        <v>40</v>
      </c>
      <c r="C82" s="19">
        <v>2014</v>
      </c>
      <c r="D82" s="19">
        <v>2015</v>
      </c>
      <c r="E82" s="19">
        <v>2016</v>
      </c>
      <c r="F82" s="19">
        <v>2017</v>
      </c>
      <c r="G82" s="19">
        <v>2018</v>
      </c>
      <c r="H82" s="19">
        <v>2019</v>
      </c>
      <c r="I82" s="19">
        <v>2020</v>
      </c>
      <c r="J82" s="19">
        <v>2021</v>
      </c>
    </row>
    <row r="83" spans="2:11" x14ac:dyDescent="0.25">
      <c r="B83" s="2" t="s">
        <v>241</v>
      </c>
      <c r="C83" s="39">
        <v>3859</v>
      </c>
      <c r="D83" s="39">
        <v>3927</v>
      </c>
      <c r="E83" s="39">
        <v>4035</v>
      </c>
      <c r="F83" s="39">
        <v>3827</v>
      </c>
      <c r="G83" s="13">
        <v>3580</v>
      </c>
      <c r="H83" s="13">
        <v>3361</v>
      </c>
      <c r="I83" s="13">
        <v>3014.8</v>
      </c>
      <c r="J83" s="13">
        <v>3236</v>
      </c>
    </row>
    <row r="84" spans="2:11" x14ac:dyDescent="0.25">
      <c r="B84" s="2" t="s">
        <v>16</v>
      </c>
      <c r="C84" s="2"/>
      <c r="D84" s="2"/>
      <c r="E84" s="2"/>
      <c r="F84" s="2"/>
      <c r="G84" s="2"/>
      <c r="H84" s="2"/>
      <c r="I84" s="2"/>
      <c r="J84" s="2"/>
    </row>
    <row r="85" spans="2:11" x14ac:dyDescent="0.25">
      <c r="B85" s="14" t="s">
        <v>270</v>
      </c>
      <c r="C85" s="116">
        <v>1056</v>
      </c>
      <c r="D85" s="117">
        <v>1007</v>
      </c>
      <c r="E85" s="117">
        <v>1011</v>
      </c>
      <c r="F85" s="118">
        <v>921</v>
      </c>
      <c r="G85" s="2">
        <v>847</v>
      </c>
      <c r="H85" s="2">
        <v>826</v>
      </c>
      <c r="I85" s="100">
        <f>707.86+40.63</f>
        <v>748.49</v>
      </c>
      <c r="J85" s="2">
        <v>610</v>
      </c>
    </row>
    <row r="86" spans="2:11" x14ac:dyDescent="0.25">
      <c r="B86" s="16" t="s">
        <v>45</v>
      </c>
      <c r="C86" s="36">
        <f t="shared" ref="C86:G86" si="10">C85/C83*100</f>
        <v>27.364602228556624</v>
      </c>
      <c r="D86" s="36">
        <f t="shared" si="10"/>
        <v>25.64298446651388</v>
      </c>
      <c r="E86" s="36">
        <f t="shared" si="10"/>
        <v>25.055762081784387</v>
      </c>
      <c r="F86" s="36">
        <f t="shared" si="10"/>
        <v>24.065847922654822</v>
      </c>
      <c r="G86" s="36">
        <f t="shared" si="10"/>
        <v>23.659217877094971</v>
      </c>
      <c r="H86" s="36">
        <f t="shared" ref="H86:I86" si="11">H85/H83*100</f>
        <v>24.576019041951799</v>
      </c>
      <c r="I86" s="36">
        <f t="shared" si="11"/>
        <v>24.827185882977311</v>
      </c>
      <c r="J86" s="36">
        <f t="shared" ref="J86" si="12">J85/J83*100</f>
        <v>18.8504326328801</v>
      </c>
    </row>
    <row r="87" spans="2:11" x14ac:dyDescent="0.25">
      <c r="B87" s="14" t="s">
        <v>48</v>
      </c>
      <c r="C87" s="12">
        <v>2629</v>
      </c>
      <c r="D87" s="12">
        <v>2747</v>
      </c>
      <c r="E87" s="12">
        <v>2833</v>
      </c>
      <c r="F87" s="12">
        <v>2712</v>
      </c>
      <c r="G87" s="13">
        <v>2548</v>
      </c>
      <c r="H87" s="13">
        <v>2385</v>
      </c>
      <c r="I87" s="13">
        <f>1985.83+130.65</f>
        <v>2116.48</v>
      </c>
      <c r="J87" s="13">
        <v>2463</v>
      </c>
      <c r="K87" s="133"/>
    </row>
    <row r="88" spans="2:11" x14ac:dyDescent="0.25">
      <c r="B88" s="16" t="s">
        <v>45</v>
      </c>
      <c r="C88" s="36">
        <f t="shared" ref="C88:G88" si="13">C87/C83*100</f>
        <v>68.126457631510746</v>
      </c>
      <c r="D88" s="36">
        <f t="shared" si="13"/>
        <v>69.951617010440543</v>
      </c>
      <c r="E88" s="36">
        <f t="shared" si="13"/>
        <v>70.21065675340769</v>
      </c>
      <c r="F88" s="36">
        <f t="shared" si="13"/>
        <v>70.864907238045475</v>
      </c>
      <c r="G88" s="36">
        <f t="shared" si="13"/>
        <v>71.173184357541899</v>
      </c>
      <c r="H88" s="36">
        <f t="shared" ref="H88:I88" si="14">H87/H83*100</f>
        <v>70.961023504909249</v>
      </c>
      <c r="I88" s="36">
        <f t="shared" si="14"/>
        <v>70.202998540533372</v>
      </c>
      <c r="J88" s="36">
        <f t="shared" ref="J88" si="15">J87/J83*100</f>
        <v>76.112484548825705</v>
      </c>
    </row>
    <row r="89" spans="2:11" x14ac:dyDescent="0.25">
      <c r="B89" s="14" t="s">
        <v>46</v>
      </c>
      <c r="C89" s="105">
        <v>85</v>
      </c>
      <c r="D89" s="105">
        <v>80</v>
      </c>
      <c r="E89" s="105">
        <v>101</v>
      </c>
      <c r="F89" s="105">
        <v>91</v>
      </c>
      <c r="G89" s="2">
        <v>72</v>
      </c>
      <c r="H89" s="2">
        <v>30</v>
      </c>
      <c r="I89" s="100">
        <f>16.41+1.82</f>
        <v>18.23</v>
      </c>
      <c r="J89" s="2">
        <v>15</v>
      </c>
    </row>
    <row r="90" spans="2:11" x14ac:dyDescent="0.25">
      <c r="B90" s="14" t="s">
        <v>47</v>
      </c>
      <c r="C90" s="42">
        <v>88</v>
      </c>
      <c r="D90" s="42">
        <v>94</v>
      </c>
      <c r="E90" s="42">
        <v>90</v>
      </c>
      <c r="F90" s="42">
        <v>104</v>
      </c>
      <c r="G90" s="2">
        <v>114</v>
      </c>
      <c r="H90" s="2">
        <v>120</v>
      </c>
      <c r="I90" s="100">
        <f>126.13+5.46</f>
        <v>131.59</v>
      </c>
      <c r="J90" s="2">
        <v>148</v>
      </c>
    </row>
    <row r="91" spans="2:11" x14ac:dyDescent="0.25">
      <c r="B91" s="14" t="s">
        <v>49</v>
      </c>
      <c r="C91" s="2"/>
      <c r="D91" s="2"/>
      <c r="E91" s="2"/>
      <c r="F91" s="2"/>
      <c r="G91" s="2"/>
      <c r="H91" s="2"/>
      <c r="I91" s="2"/>
      <c r="J91" s="2"/>
    </row>
    <row r="92" spans="2:11" x14ac:dyDescent="0.25">
      <c r="B92" s="2"/>
      <c r="C92" s="2"/>
      <c r="D92" s="2"/>
      <c r="E92" s="2"/>
      <c r="F92" s="2"/>
      <c r="G92" s="2"/>
      <c r="H92" s="2"/>
      <c r="I92" s="2"/>
      <c r="J92" s="2"/>
    </row>
    <row r="93" spans="2:11" x14ac:dyDescent="0.25">
      <c r="B93" s="17" t="s">
        <v>42</v>
      </c>
      <c r="C93" s="42"/>
      <c r="D93" s="42"/>
      <c r="E93" s="2"/>
      <c r="F93" s="2"/>
      <c r="G93" s="2"/>
      <c r="H93" s="2"/>
      <c r="I93" s="2"/>
      <c r="J93" s="2"/>
    </row>
    <row r="94" spans="2:11" x14ac:dyDescent="0.25">
      <c r="B94" s="15" t="s">
        <v>30</v>
      </c>
      <c r="C94" s="36">
        <f>C87/Folkmängd!C23*100000</f>
        <v>62.921666713337352</v>
      </c>
      <c r="D94" s="36">
        <f>D87/Folkmängd!D23*100000</f>
        <v>64.888603959598512</v>
      </c>
      <c r="E94" s="36">
        <f>E87/Folkmängd!E23*100000</f>
        <v>66.191124828564284</v>
      </c>
      <c r="F94" s="36">
        <f>F87/Folkmängd!F23*100000</f>
        <v>62.768958157962523</v>
      </c>
      <c r="G94" s="36">
        <f>G87/Folkmängd!G23*100000</f>
        <v>58.484834226022762</v>
      </c>
      <c r="H94" s="36">
        <f>H87/Folkmängd!H23*100000</f>
        <v>54.287778489474995</v>
      </c>
      <c r="I94" s="36">
        <f>I87/Folkmängd!I23*100000</f>
        <v>47.695829116387259</v>
      </c>
      <c r="J94" s="36">
        <f>J87/Folkmängd!J23*100000</f>
        <v>55.103407820254162</v>
      </c>
    </row>
    <row r="95" spans="2:11" x14ac:dyDescent="0.25">
      <c r="B95" s="15" t="s">
        <v>31</v>
      </c>
      <c r="C95" s="36">
        <f>C87/Folkmängd!C24*100000</f>
        <v>51.457646970399225</v>
      </c>
      <c r="D95" s="36">
        <f>D87/Folkmängd!D24*100000</f>
        <v>53.176641303712373</v>
      </c>
      <c r="E95" s="36">
        <f>E87/Folkmängd!E24*100000</f>
        <v>54.33464039501456</v>
      </c>
      <c r="F95" s="36">
        <f>F87/Folkmängd!F24*100000</f>
        <v>51.575437540186336</v>
      </c>
      <c r="G95" s="36">
        <f>G87/Folkmängd!G24*100000</f>
        <v>48.115243940321236</v>
      </c>
      <c r="H95" s="36">
        <f>H87/Folkmängd!H24*100000</f>
        <v>44.761732453588557</v>
      </c>
      <c r="I95" s="36">
        <f>I87/Folkmängd!I24*100000</f>
        <v>39.430804943754914</v>
      </c>
      <c r="J95" s="36">
        <f>J87/Folkmängd!J24*100000</f>
        <v>45.684129578220301</v>
      </c>
    </row>
    <row r="96" spans="2:11" x14ac:dyDescent="0.25">
      <c r="B96" s="17"/>
      <c r="C96" s="2"/>
      <c r="D96" s="2"/>
      <c r="E96" s="2"/>
      <c r="F96" s="2"/>
      <c r="G96" s="2"/>
      <c r="H96" s="2"/>
      <c r="I96" s="2"/>
      <c r="J96" s="2"/>
    </row>
    <row r="97" spans="2:11" x14ac:dyDescent="0.25">
      <c r="B97" s="17" t="s">
        <v>43</v>
      </c>
      <c r="C97" s="2"/>
      <c r="D97" s="2"/>
      <c r="E97" s="2"/>
      <c r="F97" s="2"/>
      <c r="G97" s="2"/>
      <c r="H97" s="2"/>
      <c r="I97" s="2"/>
      <c r="J97" s="2"/>
    </row>
    <row r="98" spans="2:11" x14ac:dyDescent="0.25">
      <c r="B98" s="15" t="s">
        <v>30</v>
      </c>
      <c r="C98" s="36">
        <f>C83/Folkmängd!C23*100000</f>
        <v>92.360103403107217</v>
      </c>
      <c r="D98" s="36">
        <f>D83/Folkmängd!D23*100000</f>
        <v>92.762121495938615</v>
      </c>
      <c r="E98" s="36">
        <f>E83/Folkmängd!E23*100000</f>
        <v>94.275040128223395</v>
      </c>
      <c r="F98" s="36">
        <f>F83/Folkmängd!F23*100000</f>
        <v>88.575517282641073</v>
      </c>
      <c r="G98" s="36">
        <f>G83/Folkmängd!G23*100000</f>
        <v>82.172569281460568</v>
      </c>
      <c r="H98" s="36">
        <f>H83/Folkmängd!H23*100000</f>
        <v>76.503657653302085</v>
      </c>
      <c r="I98" s="36">
        <f>I83/Folkmängd!I23*100000</f>
        <v>67.939874518107587</v>
      </c>
      <c r="J98" s="36">
        <f>J83/Folkmängd!J23*100000</f>
        <v>72.397331590070024</v>
      </c>
    </row>
    <row r="99" spans="2:11" x14ac:dyDescent="0.25">
      <c r="B99" s="15" t="s">
        <v>31</v>
      </c>
      <c r="C99" s="36">
        <f>C83/Folkmängd!C24*100000</f>
        <v>75.532544564005562</v>
      </c>
      <c r="D99" s="36">
        <f>D83/Folkmängd!D24*100000</f>
        <v>76.019173789471608</v>
      </c>
      <c r="E99" s="36">
        <f>E83/Folkmängd!E24*100000</f>
        <v>77.388024706630347</v>
      </c>
      <c r="F99" s="36">
        <f>F83/Folkmängd!F24*100000</f>
        <v>72.779940806155281</v>
      </c>
      <c r="G99" s="36">
        <f>G83/Folkmängd!G24*100000</f>
        <v>67.60305074817505</v>
      </c>
      <c r="H99" s="36">
        <f>H83/Folkmängd!H24*100000</f>
        <v>63.079321918872601</v>
      </c>
      <c r="I99" s="36">
        <f>I83/Folkmängd!I24*100000</f>
        <v>56.166838687080585</v>
      </c>
      <c r="J99" s="36">
        <f>J83/Folkmängd!J24*100000</f>
        <v>60.02186086687815</v>
      </c>
    </row>
    <row r="100" spans="2:11" x14ac:dyDescent="0.25">
      <c r="B100" s="10"/>
    </row>
    <row r="101" spans="2:11" x14ac:dyDescent="0.25">
      <c r="B101" s="9" t="s">
        <v>242</v>
      </c>
    </row>
    <row r="102" spans="2:11" x14ac:dyDescent="0.25">
      <c r="B102" s="9" t="s">
        <v>273</v>
      </c>
    </row>
    <row r="103" spans="2:11" x14ac:dyDescent="0.25">
      <c r="B103" s="9"/>
    </row>
    <row r="104" spans="2:11" x14ac:dyDescent="0.25">
      <c r="B104" s="9"/>
    </row>
    <row r="105" spans="2:11" x14ac:dyDescent="0.25">
      <c r="B105" s="10"/>
    </row>
    <row r="106" spans="2:11" x14ac:dyDescent="0.25">
      <c r="B106" s="6"/>
    </row>
    <row r="108" spans="2:11" ht="18.75" x14ac:dyDescent="0.3">
      <c r="B108" s="18" t="s">
        <v>41</v>
      </c>
      <c r="C108" s="19">
        <v>2014</v>
      </c>
      <c r="D108" s="19">
        <v>2015</v>
      </c>
      <c r="E108" s="19">
        <v>2016</v>
      </c>
      <c r="F108" s="19">
        <v>2017</v>
      </c>
      <c r="G108" s="19">
        <v>2018</v>
      </c>
      <c r="H108" s="19">
        <v>2019</v>
      </c>
      <c r="I108" s="19">
        <v>2020</v>
      </c>
      <c r="J108" s="19">
        <v>2021</v>
      </c>
    </row>
    <row r="109" spans="2:11" x14ac:dyDescent="0.25">
      <c r="B109" s="21" t="s">
        <v>241</v>
      </c>
      <c r="C109" s="13">
        <f t="shared" ref="C109:H109" si="16">C111+C113+C117</f>
        <v>5749</v>
      </c>
      <c r="D109" s="13">
        <f t="shared" si="16"/>
        <v>5664</v>
      </c>
      <c r="E109" s="13">
        <f t="shared" si="16"/>
        <v>5640</v>
      </c>
      <c r="F109" s="28">
        <f t="shared" si="16"/>
        <v>5687.018562467998</v>
      </c>
      <c r="G109" s="28">
        <f t="shared" si="16"/>
        <v>6067.5546377368146</v>
      </c>
      <c r="H109" s="28">
        <f t="shared" si="16"/>
        <v>6558.053767281106</v>
      </c>
      <c r="I109" s="28">
        <f>I111+I113+I117</f>
        <v>7077.9534420961581</v>
      </c>
      <c r="J109" s="28">
        <f>J111+J113+J117</f>
        <v>7590.2396262160782</v>
      </c>
    </row>
    <row r="110" spans="2:11" x14ac:dyDescent="0.25">
      <c r="B110" s="21" t="s">
        <v>16</v>
      </c>
      <c r="C110" s="2"/>
      <c r="D110" s="2"/>
      <c r="E110" s="2"/>
      <c r="F110" s="2"/>
      <c r="G110" s="2"/>
      <c r="H110" s="2"/>
      <c r="I110" s="2"/>
      <c r="J110" s="2"/>
    </row>
    <row r="111" spans="2:11" x14ac:dyDescent="0.25">
      <c r="B111" s="23" t="s">
        <v>44</v>
      </c>
      <c r="C111" s="13">
        <v>1490</v>
      </c>
      <c r="D111" s="13">
        <v>1442</v>
      </c>
      <c r="E111" s="13">
        <v>1460</v>
      </c>
      <c r="F111" s="28">
        <v>1502.28</v>
      </c>
      <c r="G111" s="28">
        <v>1690.41</v>
      </c>
      <c r="H111" s="28">
        <v>1859.29</v>
      </c>
      <c r="I111" s="28">
        <v>2051.5700000000002</v>
      </c>
      <c r="J111" s="28">
        <v>2172.31</v>
      </c>
      <c r="K111" s="133"/>
    </row>
    <row r="112" spans="2:11" x14ac:dyDescent="0.25">
      <c r="B112" s="24" t="s">
        <v>45</v>
      </c>
      <c r="C112" s="36">
        <f t="shared" ref="C112:H112" si="17">C111/C109*100</f>
        <v>25.917550878413635</v>
      </c>
      <c r="D112" s="36">
        <f t="shared" si="17"/>
        <v>25.459039548022599</v>
      </c>
      <c r="E112" s="36">
        <f t="shared" si="17"/>
        <v>25.886524822695034</v>
      </c>
      <c r="F112" s="158">
        <f t="shared" si="17"/>
        <v>26.415950352517488</v>
      </c>
      <c r="G112" s="158">
        <f t="shared" si="17"/>
        <v>27.859823288390189</v>
      </c>
      <c r="H112" s="158">
        <f t="shared" si="17"/>
        <v>28.351246665225805</v>
      </c>
      <c r="I112" s="158">
        <f t="shared" ref="I112:J112" si="18">I111/I109*100</f>
        <v>28.985355961771081</v>
      </c>
      <c r="J112" s="158">
        <f t="shared" si="18"/>
        <v>28.619781548095208</v>
      </c>
    </row>
    <row r="113" spans="2:10" x14ac:dyDescent="0.25">
      <c r="B113" s="23" t="s">
        <v>354</v>
      </c>
      <c r="C113" s="13">
        <v>4172</v>
      </c>
      <c r="D113" s="13">
        <v>4091</v>
      </c>
      <c r="E113" s="13">
        <v>4050</v>
      </c>
      <c r="F113" s="157">
        <v>4046.5664119303633</v>
      </c>
      <c r="G113" s="157">
        <v>4228.6627470558115</v>
      </c>
      <c r="H113" s="157">
        <v>4562.372549923195</v>
      </c>
      <c r="I113" s="157">
        <v>4888.69396242739</v>
      </c>
      <c r="J113" s="157">
        <v>5267.8296287762414</v>
      </c>
    </row>
    <row r="114" spans="2:10" x14ac:dyDescent="0.25">
      <c r="B114" s="24" t="s">
        <v>45</v>
      </c>
      <c r="C114" s="36">
        <f t="shared" ref="C114:H114" si="19">C113/C109*100</f>
        <v>72.569142459558194</v>
      </c>
      <c r="D114" s="36">
        <f t="shared" si="19"/>
        <v>72.228107344632761</v>
      </c>
      <c r="E114" s="36">
        <f t="shared" si="19"/>
        <v>71.808510638297875</v>
      </c>
      <c r="F114" s="158">
        <f t="shared" si="19"/>
        <v>71.15444353630302</v>
      </c>
      <c r="G114" s="158">
        <f t="shared" si="19"/>
        <v>69.693031204958274</v>
      </c>
      <c r="H114" s="158">
        <f t="shared" si="19"/>
        <v>69.569001899395872</v>
      </c>
      <c r="I114" s="158">
        <f t="shared" ref="I114:J114" si="20">I113/I109*100</f>
        <v>69.069315055844555</v>
      </c>
      <c r="J114" s="158">
        <f t="shared" si="20"/>
        <v>69.402678811108686</v>
      </c>
    </row>
    <row r="115" spans="2:10" x14ac:dyDescent="0.25">
      <c r="B115" s="23" t="s">
        <v>46</v>
      </c>
      <c r="C115" s="2"/>
      <c r="D115" s="2"/>
      <c r="E115" s="2"/>
      <c r="F115" s="21"/>
      <c r="G115" s="21"/>
      <c r="H115" s="21"/>
      <c r="I115" s="21"/>
      <c r="J115" s="21"/>
    </row>
    <row r="116" spans="2:10" x14ac:dyDescent="0.25">
      <c r="B116" s="23" t="s">
        <v>47</v>
      </c>
      <c r="C116" s="2"/>
      <c r="D116" s="2"/>
      <c r="E116" s="2"/>
      <c r="F116" s="21"/>
      <c r="G116" s="21"/>
      <c r="H116" s="21"/>
      <c r="I116" s="21"/>
      <c r="J116" s="21"/>
    </row>
    <row r="117" spans="2:10" x14ac:dyDescent="0.25">
      <c r="B117" s="23" t="s">
        <v>355</v>
      </c>
      <c r="C117" s="2">
        <v>87</v>
      </c>
      <c r="D117" s="2">
        <v>131</v>
      </c>
      <c r="E117" s="2">
        <v>130</v>
      </c>
      <c r="F117" s="160">
        <v>138.17215053763439</v>
      </c>
      <c r="G117" s="160">
        <v>148.48189068100359</v>
      </c>
      <c r="H117" s="160">
        <v>136.3912173579109</v>
      </c>
      <c r="I117" s="160">
        <v>137.68947966876777</v>
      </c>
      <c r="J117" s="160">
        <v>150.09999743983613</v>
      </c>
    </row>
    <row r="118" spans="2:10" x14ac:dyDescent="0.25">
      <c r="B118" s="21"/>
      <c r="C118" s="2"/>
      <c r="D118" s="2"/>
      <c r="E118" s="2"/>
      <c r="F118" s="38"/>
      <c r="G118" s="38"/>
      <c r="H118" s="38"/>
      <c r="I118" s="38"/>
      <c r="J118" s="38"/>
    </row>
    <row r="119" spans="2:10" x14ac:dyDescent="0.25">
      <c r="B119" s="34" t="s">
        <v>42</v>
      </c>
      <c r="C119" s="2"/>
      <c r="D119" s="2"/>
      <c r="E119" s="2"/>
      <c r="F119" s="38"/>
      <c r="G119" s="38"/>
      <c r="H119" s="38"/>
      <c r="I119" s="38"/>
      <c r="J119" s="38"/>
    </row>
    <row r="120" spans="2:10" x14ac:dyDescent="0.25">
      <c r="B120" s="35" t="s">
        <v>30</v>
      </c>
      <c r="C120" s="36">
        <f>C113/Folkmängd!C29*100000</f>
        <v>51.727630961293293</v>
      </c>
      <c r="D120" s="36">
        <f>D113/Folkmängd!D29*100000</f>
        <v>50.295836891498446</v>
      </c>
      <c r="E120" s="36">
        <f>E113/Folkmängd!E29*100000</f>
        <v>49.185350926548786</v>
      </c>
      <c r="F120" s="36">
        <f>F113/Folkmängd!F29*100000</f>
        <v>48.604105690489035</v>
      </c>
      <c r="G120" s="36">
        <f>G113/Folkmängd!G29*100000</f>
        <v>50.278638245724274</v>
      </c>
      <c r="H120" s="36">
        <f>H113/Folkmängd!H29*100000</f>
        <v>53.720677992418906</v>
      </c>
      <c r="I120" s="36">
        <f>I113/Folkmängd!I29*100000</f>
        <v>57.234627166963705</v>
      </c>
      <c r="J120" s="36">
        <f>J113/Folkmängd!J29*100000</f>
        <v>61.159796150363711</v>
      </c>
    </row>
    <row r="121" spans="2:10" x14ac:dyDescent="0.25">
      <c r="B121" s="35" t="s">
        <v>31</v>
      </c>
      <c r="C121" s="36">
        <f>C113/Folkmängd!C30*100000</f>
        <v>42.801354829079273</v>
      </c>
      <c r="D121" s="36">
        <f>D113/Folkmängd!D30*100000</f>
        <v>41.528707137547322</v>
      </c>
      <c r="E121" s="36">
        <f>E113/Folkmängd!E30*100000</f>
        <v>40.519639869444724</v>
      </c>
      <c r="F121" s="36">
        <f>F113/Folkmängd!F30*100000</f>
        <v>39.984877949858941</v>
      </c>
      <c r="G121" s="36">
        <f>G113/Folkmängd!G30*100000</f>
        <v>41.335154223074277</v>
      </c>
      <c r="H121" s="36">
        <f>H113/Folkmängd!H30*100000</f>
        <v>44.176550305431356</v>
      </c>
      <c r="I121" s="36">
        <f>I113/Folkmängd!I30*100000</f>
        <v>47.100443357929322</v>
      </c>
      <c r="J121" s="36">
        <f>J113/Folkmängd!J30*100000</f>
        <v>50.398634990682858</v>
      </c>
    </row>
    <row r="122" spans="2:10" x14ac:dyDescent="0.25">
      <c r="B122" s="34"/>
      <c r="C122" s="2"/>
      <c r="D122" s="2"/>
      <c r="E122" s="2"/>
      <c r="F122" s="38"/>
      <c r="G122" s="38"/>
      <c r="H122" s="38"/>
      <c r="I122" s="38"/>
      <c r="J122" s="38"/>
    </row>
    <row r="123" spans="2:10" x14ac:dyDescent="0.25">
      <c r="B123" s="34" t="s">
        <v>43</v>
      </c>
      <c r="C123" s="2"/>
      <c r="D123" s="2"/>
      <c r="E123" s="2"/>
      <c r="F123" s="38"/>
      <c r="G123" s="38"/>
      <c r="H123" s="38"/>
      <c r="I123" s="38"/>
      <c r="J123" s="38"/>
    </row>
    <row r="124" spans="2:10" x14ac:dyDescent="0.25">
      <c r="B124" s="35" t="s">
        <v>30</v>
      </c>
      <c r="C124" s="36">
        <f>C109/Folkmängd!C29*100000</f>
        <v>71.280477084485895</v>
      </c>
      <c r="D124" s="36">
        <f>D109/Folkmängd!D29*100000</f>
        <v>69.634715266058947</v>
      </c>
      <c r="E124" s="36">
        <f>E109/Folkmängd!E29*100000</f>
        <v>68.495155364379045</v>
      </c>
      <c r="F124" s="36">
        <f>F109/Folkmängd!F29*100000</f>
        <v>68.307899373411871</v>
      </c>
      <c r="G124" s="36">
        <f>G109/Folkmängd!G29*100000</f>
        <v>72.142992457683803</v>
      </c>
      <c r="H124" s="36">
        <f>H109/Folkmängd!H29*100000</f>
        <v>77.219273707713498</v>
      </c>
      <c r="I124" s="36">
        <f>I109/Folkmängd!I29*100000</f>
        <v>82.865491167369825</v>
      </c>
      <c r="J124" s="36">
        <f>J109/Folkmängd!J29*100000</f>
        <v>88.123105906071146</v>
      </c>
    </row>
    <row r="125" spans="2:10" x14ac:dyDescent="0.25">
      <c r="B125" s="35" t="s">
        <v>31</v>
      </c>
      <c r="C125" s="36">
        <f>C109/Folkmängd!C30*100000</f>
        <v>58.98010280737698</v>
      </c>
      <c r="D125" s="36">
        <f>D109/Folkmängd!D30*100000</f>
        <v>57.496601619913967</v>
      </c>
      <c r="E125" s="36">
        <f>E109/Folkmängd!E30*100000</f>
        <v>56.427350336708209</v>
      </c>
      <c r="F125" s="36">
        <f>F109/Folkmängd!F30*100000</f>
        <v>56.19449181618382</v>
      </c>
      <c r="G125" s="36">
        <f>G109/Folkmängd!G30*100000</f>
        <v>59.310311961482761</v>
      </c>
      <c r="H125" s="36">
        <f>H109/Folkmängd!H30*100000</f>
        <v>63.500336499458932</v>
      </c>
      <c r="I125" s="36">
        <f>I109/Folkmängd!I30*100000</f>
        <v>68.193007734110637</v>
      </c>
      <c r="J125" s="36">
        <f>J109/Folkmängd!J30*100000</f>
        <v>72.617708500634961</v>
      </c>
    </row>
    <row r="126" spans="2:10" x14ac:dyDescent="0.25">
      <c r="B126" s="32"/>
      <c r="C126" s="22"/>
      <c r="D126" s="22"/>
      <c r="E126" s="22"/>
      <c r="F126" s="22"/>
      <c r="G126" s="22"/>
      <c r="H126" s="22"/>
    </row>
    <row r="127" spans="2:10" x14ac:dyDescent="0.25">
      <c r="B127" s="129" t="s">
        <v>352</v>
      </c>
      <c r="C127" s="22"/>
      <c r="D127" s="22"/>
      <c r="E127" s="22"/>
      <c r="F127" s="22"/>
      <c r="G127" s="22"/>
      <c r="H127" s="22"/>
    </row>
    <row r="128" spans="2:10" x14ac:dyDescent="0.25">
      <c r="B128" s="129" t="s">
        <v>353</v>
      </c>
      <c r="C128" s="22"/>
      <c r="D128" s="22"/>
      <c r="E128" s="22"/>
      <c r="F128" s="22"/>
      <c r="G128" s="22"/>
      <c r="H128" s="22"/>
      <c r="I128" s="124"/>
    </row>
    <row r="129" spans="2:9" x14ac:dyDescent="0.25">
      <c r="B129" s="129" t="s">
        <v>338</v>
      </c>
      <c r="I129" s="124"/>
    </row>
    <row r="130" spans="2:9" x14ac:dyDescent="0.25">
      <c r="B130" s="9"/>
    </row>
    <row r="131" spans="2:9" x14ac:dyDescent="0.25">
      <c r="B131" s="10"/>
    </row>
    <row r="132" spans="2:9" x14ac:dyDescent="0.25">
      <c r="B132" s="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133"/>
  <sheetViews>
    <sheetView zoomScaleNormal="100" workbookViewId="0">
      <pane ySplit="2" topLeftCell="A126" activePane="bottomLeft" state="frozen"/>
      <selection activeCell="K42" sqref="K42"/>
      <selection pane="bottomLeft" activeCell="B1" sqref="B1"/>
    </sheetView>
  </sheetViews>
  <sheetFormatPr defaultColWidth="9" defaultRowHeight="15" x14ac:dyDescent="0.25"/>
  <cols>
    <col min="1" max="1" width="1.625" style="1" customWidth="1"/>
    <col min="2" max="2" width="55.125" style="1" customWidth="1"/>
    <col min="3" max="8" width="10" style="1" customWidth="1"/>
    <col min="9" max="9" width="10" style="136" customWidth="1"/>
    <col min="10" max="10" width="10" style="1" customWidth="1"/>
    <col min="11" max="16384" width="9" style="1"/>
  </cols>
  <sheetData>
    <row r="2" spans="2:11" ht="18.75" x14ac:dyDescent="0.3">
      <c r="B2" s="4" t="s">
        <v>7</v>
      </c>
    </row>
    <row r="3" spans="2:11" ht="18.75" x14ac:dyDescent="0.3">
      <c r="B3" s="4"/>
    </row>
    <row r="4" spans="2:11" ht="18.75" x14ac:dyDescent="0.3">
      <c r="B4" s="18" t="s">
        <v>50</v>
      </c>
      <c r="C4" s="19">
        <v>2014</v>
      </c>
      <c r="D4" s="19">
        <v>2015</v>
      </c>
      <c r="E4" s="19">
        <v>2016</v>
      </c>
      <c r="F4" s="19">
        <v>2017</v>
      </c>
      <c r="G4" s="19">
        <v>2018</v>
      </c>
      <c r="H4" s="19">
        <v>2019</v>
      </c>
      <c r="I4" s="19">
        <v>2020</v>
      </c>
      <c r="J4" s="19">
        <v>2021</v>
      </c>
    </row>
    <row r="5" spans="2:11" x14ac:dyDescent="0.25">
      <c r="B5" s="2" t="s">
        <v>244</v>
      </c>
      <c r="C5" s="39">
        <v>9885.2666666666682</v>
      </c>
      <c r="D5" s="39">
        <v>9669.4333333333343</v>
      </c>
      <c r="E5" s="39">
        <v>9052.9166666666661</v>
      </c>
      <c r="F5" s="39">
        <v>8447.8666666666668</v>
      </c>
      <c r="G5" s="39">
        <v>8049.7666666666673</v>
      </c>
      <c r="H5" s="39">
        <v>7820.0833333333339</v>
      </c>
      <c r="I5" s="39">
        <v>7718.4166666666661</v>
      </c>
      <c r="J5" s="39">
        <v>7958.7333333333327</v>
      </c>
      <c r="K5" s="167"/>
    </row>
    <row r="6" spans="2:11" x14ac:dyDescent="0.25">
      <c r="B6" s="2" t="s">
        <v>385</v>
      </c>
      <c r="C6" s="96"/>
      <c r="D6" s="96"/>
      <c r="E6" s="96"/>
      <c r="F6" s="96"/>
      <c r="G6" s="96"/>
      <c r="H6" s="96"/>
      <c r="I6" s="96"/>
      <c r="J6" s="96"/>
    </row>
    <row r="7" spans="2:11" x14ac:dyDescent="0.25">
      <c r="B7" s="14" t="s">
        <v>20</v>
      </c>
      <c r="C7" s="39">
        <v>2249.1666666666665</v>
      </c>
      <c r="D7" s="39">
        <v>2492.25</v>
      </c>
      <c r="E7" s="39">
        <v>2414</v>
      </c>
      <c r="F7" s="39">
        <v>2279.0000000000005</v>
      </c>
      <c r="G7" s="39">
        <v>2048.25</v>
      </c>
      <c r="H7" s="39">
        <v>1858.1666666666667</v>
      </c>
      <c r="I7" s="39">
        <v>1941.5833333333333</v>
      </c>
      <c r="J7" s="39">
        <v>2172.25</v>
      </c>
    </row>
    <row r="8" spans="2:11" x14ac:dyDescent="0.25">
      <c r="B8" s="14" t="s">
        <v>21</v>
      </c>
      <c r="C8" s="39"/>
      <c r="D8" s="39"/>
      <c r="E8" s="39"/>
      <c r="F8" s="39"/>
      <c r="G8" s="39"/>
      <c r="H8" s="39"/>
      <c r="I8" s="39"/>
      <c r="J8" s="39"/>
    </row>
    <row r="9" spans="2:11" x14ac:dyDescent="0.25">
      <c r="B9" s="14" t="s">
        <v>22</v>
      </c>
      <c r="C9" s="39">
        <v>1787.25</v>
      </c>
      <c r="D9" s="39">
        <v>1669.1666666666667</v>
      </c>
      <c r="E9" s="39">
        <v>1456.25</v>
      </c>
      <c r="F9" s="39">
        <v>1406.8333333333333</v>
      </c>
      <c r="G9" s="39">
        <v>1325.9166666666667</v>
      </c>
      <c r="H9" s="39">
        <v>1273.75</v>
      </c>
      <c r="I9" s="39">
        <v>1241.1666666666667</v>
      </c>
      <c r="J9" s="39">
        <v>1236</v>
      </c>
    </row>
    <row r="10" spans="2:11" x14ac:dyDescent="0.25">
      <c r="B10" s="14" t="s">
        <v>23</v>
      </c>
      <c r="C10" s="39">
        <v>2221</v>
      </c>
      <c r="D10" s="39">
        <v>1959.1666666666667</v>
      </c>
      <c r="E10" s="39">
        <v>1780.3333333333333</v>
      </c>
      <c r="F10" s="39">
        <v>1511.3333333333333</v>
      </c>
      <c r="G10" s="39">
        <v>1459.3333333333333</v>
      </c>
      <c r="H10" s="39">
        <v>1489.6666666666667</v>
      </c>
      <c r="I10" s="39">
        <v>1409.0833333333333</v>
      </c>
      <c r="J10" s="39">
        <v>1413</v>
      </c>
    </row>
    <row r="11" spans="2:11" x14ac:dyDescent="0.25">
      <c r="B11" s="14" t="s">
        <v>24</v>
      </c>
      <c r="C11" s="39">
        <v>2884.5</v>
      </c>
      <c r="D11" s="39">
        <v>2862.5833333333335</v>
      </c>
      <c r="E11" s="39">
        <v>2792.4166666666665</v>
      </c>
      <c r="F11" s="39">
        <v>2732.9166666666665</v>
      </c>
      <c r="G11" s="39">
        <v>2735.0833333333335</v>
      </c>
      <c r="H11" s="39">
        <v>2710.8333333333335</v>
      </c>
      <c r="I11" s="39">
        <v>2677.75</v>
      </c>
      <c r="J11" s="39">
        <v>2627</v>
      </c>
    </row>
    <row r="12" spans="2:11" x14ac:dyDescent="0.25">
      <c r="B12" s="8" t="s">
        <v>25</v>
      </c>
      <c r="C12" s="39">
        <v>426.91666666666669</v>
      </c>
      <c r="D12" s="39">
        <v>336</v>
      </c>
      <c r="E12" s="39">
        <v>333.25</v>
      </c>
      <c r="F12" s="39">
        <v>264.25</v>
      </c>
      <c r="G12" s="39">
        <v>187.91666666666666</v>
      </c>
      <c r="H12" s="39">
        <v>189.41666666666666</v>
      </c>
      <c r="I12" s="39">
        <v>194.75</v>
      </c>
      <c r="J12" s="39">
        <v>219</v>
      </c>
    </row>
    <row r="13" spans="2:11" x14ac:dyDescent="0.25">
      <c r="B13" s="14" t="s">
        <v>26</v>
      </c>
      <c r="C13" s="96"/>
      <c r="D13" s="102"/>
      <c r="E13" s="96"/>
      <c r="F13" s="39"/>
      <c r="G13" s="39"/>
      <c r="H13" s="39"/>
      <c r="I13" s="39"/>
      <c r="J13" s="39"/>
    </row>
    <row r="14" spans="2:11" x14ac:dyDescent="0.25">
      <c r="B14" s="14" t="s">
        <v>27</v>
      </c>
      <c r="C14" s="96"/>
      <c r="D14" s="96"/>
      <c r="E14" s="96"/>
      <c r="F14" s="42"/>
      <c r="G14" s="39"/>
      <c r="H14" s="39"/>
      <c r="I14" s="39"/>
      <c r="J14" s="39"/>
    </row>
    <row r="15" spans="2:11" x14ac:dyDescent="0.25">
      <c r="B15" s="14" t="s">
        <v>57</v>
      </c>
      <c r="C15" s="39">
        <v>351.6</v>
      </c>
      <c r="D15" s="103">
        <v>388.6</v>
      </c>
      <c r="E15" s="103">
        <v>298.2</v>
      </c>
      <c r="F15" s="101">
        <v>266.3</v>
      </c>
      <c r="G15" s="39">
        <v>284.2</v>
      </c>
      <c r="H15" s="39">
        <v>288</v>
      </c>
      <c r="I15" s="39">
        <v>230</v>
      </c>
      <c r="J15" s="39">
        <v>255</v>
      </c>
    </row>
    <row r="16" spans="2:11" x14ac:dyDescent="0.25">
      <c r="B16" s="14" t="s">
        <v>29</v>
      </c>
      <c r="C16" s="39">
        <v>14</v>
      </c>
      <c r="D16" s="42">
        <v>16</v>
      </c>
      <c r="E16" s="103">
        <v>20.8</v>
      </c>
      <c r="F16" s="101">
        <v>21.4</v>
      </c>
      <c r="G16" s="39">
        <v>23.4</v>
      </c>
      <c r="H16" s="39">
        <v>21</v>
      </c>
      <c r="I16" s="39">
        <v>16</v>
      </c>
      <c r="J16" s="39">
        <v>18.7</v>
      </c>
    </row>
    <row r="17" spans="2:10" x14ac:dyDescent="0.25">
      <c r="B17" s="14" t="s">
        <v>278</v>
      </c>
      <c r="C17" s="39">
        <v>64.416666666666671</v>
      </c>
      <c r="D17" s="39">
        <v>63.25</v>
      </c>
      <c r="E17" s="39">
        <v>58.166666666666671</v>
      </c>
      <c r="F17" s="39">
        <v>38.416666666666664</v>
      </c>
      <c r="G17" s="39">
        <v>41.833333333333329</v>
      </c>
      <c r="H17" s="39">
        <v>37.25</v>
      </c>
      <c r="I17" s="39">
        <v>47.5</v>
      </c>
      <c r="J17" s="39">
        <v>59.416666666666671</v>
      </c>
    </row>
    <row r="18" spans="2:10" x14ac:dyDescent="0.25">
      <c r="B18" s="2"/>
      <c r="C18" s="39"/>
      <c r="D18" s="39"/>
      <c r="E18" s="39"/>
      <c r="F18" s="39"/>
      <c r="G18" s="39"/>
      <c r="H18" s="39"/>
      <c r="I18" s="39"/>
      <c r="J18" s="39"/>
    </row>
    <row r="19" spans="2:10" x14ac:dyDescent="0.25">
      <c r="B19" s="17" t="s">
        <v>56</v>
      </c>
      <c r="C19" s="39"/>
      <c r="D19" s="39"/>
      <c r="E19" s="39"/>
      <c r="F19" s="39"/>
      <c r="G19" s="39"/>
      <c r="H19" s="39"/>
      <c r="I19" s="39"/>
      <c r="J19" s="39"/>
    </row>
    <row r="20" spans="2:10" x14ac:dyDescent="0.25">
      <c r="B20" s="15" t="s">
        <v>58</v>
      </c>
      <c r="C20" s="98">
        <v>214.63369084685951</v>
      </c>
      <c r="D20" s="98">
        <v>208.36438107063103</v>
      </c>
      <c r="E20" s="98">
        <v>192.82622744257378</v>
      </c>
      <c r="F20" s="98">
        <v>177.98396181818975</v>
      </c>
      <c r="G20" s="98">
        <v>168.15126131770046</v>
      </c>
      <c r="H20" s="98">
        <v>162.27499655743333</v>
      </c>
      <c r="I20" s="98">
        <v>159.31003868522927</v>
      </c>
      <c r="J20" s="39">
        <v>163.55700503408016</v>
      </c>
    </row>
    <row r="21" spans="2:10" x14ac:dyDescent="0.25">
      <c r="B21" s="15" t="s">
        <v>31</v>
      </c>
      <c r="C21" s="98">
        <v>177.68673247163127</v>
      </c>
      <c r="D21" s="98">
        <v>172.92419612412758</v>
      </c>
      <c r="E21" s="98">
        <v>160.38223422566602</v>
      </c>
      <c r="F21" s="98">
        <v>148.21346970107859</v>
      </c>
      <c r="G21" s="98">
        <v>140.21219391394044</v>
      </c>
      <c r="H21" s="98">
        <v>135.51452922088643</v>
      </c>
      <c r="I21" s="98">
        <v>133.23285411639341</v>
      </c>
      <c r="J21" s="98">
        <v>136.98524583286601</v>
      </c>
    </row>
    <row r="22" spans="2:10" x14ac:dyDescent="0.25">
      <c r="B22" s="10"/>
      <c r="I22" s="1"/>
    </row>
    <row r="23" spans="2:10" x14ac:dyDescent="0.25">
      <c r="B23" s="89" t="s">
        <v>274</v>
      </c>
      <c r="I23" s="1"/>
    </row>
    <row r="24" spans="2:10" x14ac:dyDescent="0.25">
      <c r="B24" s="89" t="s">
        <v>390</v>
      </c>
      <c r="I24" s="1"/>
    </row>
    <row r="25" spans="2:10" x14ac:dyDescent="0.25">
      <c r="B25" s="168" t="s">
        <v>391</v>
      </c>
      <c r="C25" s="151"/>
      <c r="D25" s="151"/>
      <c r="E25" s="151"/>
      <c r="F25" s="151"/>
      <c r="G25" s="151"/>
      <c r="H25" s="151"/>
      <c r="I25" s="151"/>
      <c r="J25" s="151"/>
    </row>
    <row r="26" spans="2:10" x14ac:dyDescent="0.25">
      <c r="B26" s="89" t="s">
        <v>384</v>
      </c>
      <c r="I26" s="1"/>
    </row>
    <row r="27" spans="2:10" x14ac:dyDescent="0.25">
      <c r="B27" s="169"/>
      <c r="I27" s="1"/>
    </row>
    <row r="28" spans="2:10" x14ac:dyDescent="0.25">
      <c r="B28" s="168"/>
      <c r="I28" s="1"/>
    </row>
    <row r="29" spans="2:10" x14ac:dyDescent="0.25">
      <c r="B29" s="6"/>
      <c r="I29" s="1"/>
    </row>
    <row r="30" spans="2:10" ht="18.75" x14ac:dyDescent="0.3">
      <c r="B30" s="18" t="s">
        <v>51</v>
      </c>
      <c r="C30" s="19">
        <v>2014</v>
      </c>
      <c r="D30" s="19">
        <v>2015</v>
      </c>
      <c r="E30" s="19">
        <v>2016</v>
      </c>
      <c r="F30" s="19">
        <v>2017</v>
      </c>
      <c r="G30" s="19">
        <v>2018</v>
      </c>
      <c r="H30" s="19">
        <v>2019</v>
      </c>
      <c r="I30" s="19">
        <v>2020</v>
      </c>
      <c r="J30" s="19">
        <v>2021</v>
      </c>
    </row>
    <row r="31" spans="2:10" x14ac:dyDescent="0.25">
      <c r="B31" s="2" t="s">
        <v>244</v>
      </c>
      <c r="C31" s="37">
        <f t="shared" ref="C31:I31" si="0">SUM(C33:C43)</f>
        <v>3305</v>
      </c>
      <c r="D31" s="37">
        <f t="shared" si="0"/>
        <v>3302</v>
      </c>
      <c r="E31" s="37">
        <f t="shared" si="0"/>
        <v>3265</v>
      </c>
      <c r="F31" s="13">
        <f t="shared" si="0"/>
        <v>3182</v>
      </c>
      <c r="G31" s="13">
        <f t="shared" si="0"/>
        <v>3165</v>
      </c>
      <c r="H31" s="13">
        <f t="shared" si="0"/>
        <v>3247</v>
      </c>
      <c r="I31" s="13">
        <f t="shared" si="0"/>
        <v>3310</v>
      </c>
      <c r="J31" s="13">
        <f>SUM(J33:J43)</f>
        <v>3388</v>
      </c>
    </row>
    <row r="32" spans="2:10" x14ac:dyDescent="0.25">
      <c r="B32" s="2" t="s">
        <v>55</v>
      </c>
      <c r="C32" s="37"/>
      <c r="D32" s="2"/>
      <c r="E32" s="2"/>
      <c r="F32" s="2"/>
      <c r="G32" s="2"/>
      <c r="H32" s="2"/>
      <c r="I32" s="2"/>
      <c r="J32" s="2"/>
    </row>
    <row r="33" spans="2:10" x14ac:dyDescent="0.25">
      <c r="B33" s="14" t="s">
        <v>20</v>
      </c>
      <c r="C33" s="37">
        <v>1247</v>
      </c>
      <c r="D33" s="37">
        <v>1217</v>
      </c>
      <c r="E33" s="37">
        <v>1120</v>
      </c>
      <c r="F33" s="37">
        <v>1096</v>
      </c>
      <c r="G33" s="13">
        <v>1072</v>
      </c>
      <c r="H33" s="13">
        <v>1154</v>
      </c>
      <c r="I33" s="13">
        <v>1220</v>
      </c>
      <c r="J33" s="13">
        <v>1249</v>
      </c>
    </row>
    <row r="34" spans="2:10" x14ac:dyDescent="0.25">
      <c r="B34" s="14" t="s">
        <v>21</v>
      </c>
      <c r="C34" s="2"/>
      <c r="D34" s="2"/>
      <c r="E34" s="2"/>
      <c r="F34" s="2"/>
      <c r="G34" s="2"/>
      <c r="H34" s="2"/>
      <c r="I34" s="2"/>
      <c r="J34" s="2"/>
    </row>
    <row r="35" spans="2:10" x14ac:dyDescent="0.25">
      <c r="B35" s="14" t="s">
        <v>22</v>
      </c>
      <c r="C35" s="37">
        <v>1054</v>
      </c>
      <c r="D35" s="37">
        <v>1033</v>
      </c>
      <c r="E35" s="37">
        <v>1067</v>
      </c>
      <c r="F35" s="37">
        <v>1093</v>
      </c>
      <c r="G35" s="37">
        <v>1116</v>
      </c>
      <c r="H35" s="37">
        <v>1116</v>
      </c>
      <c r="I35" s="37">
        <v>1144</v>
      </c>
      <c r="J35" s="37">
        <v>1116</v>
      </c>
    </row>
    <row r="36" spans="2:10" x14ac:dyDescent="0.25">
      <c r="B36" s="150" t="s">
        <v>23</v>
      </c>
      <c r="C36" s="37">
        <v>781</v>
      </c>
      <c r="D36" s="37">
        <v>786</v>
      </c>
      <c r="E36" s="37">
        <v>819</v>
      </c>
      <c r="F36" s="37">
        <v>727</v>
      </c>
      <c r="G36" s="37">
        <v>729</v>
      </c>
      <c r="H36" s="37">
        <v>726</v>
      </c>
      <c r="I36" s="37">
        <v>674</v>
      </c>
      <c r="J36" s="37">
        <v>772</v>
      </c>
    </row>
    <row r="37" spans="2:10" x14ac:dyDescent="0.25">
      <c r="B37" s="14" t="s">
        <v>24</v>
      </c>
      <c r="C37" s="2"/>
      <c r="D37" s="2"/>
      <c r="E37" s="2"/>
      <c r="F37" s="2"/>
      <c r="G37" s="2"/>
      <c r="H37" s="2"/>
      <c r="I37" s="2"/>
      <c r="J37" s="2"/>
    </row>
    <row r="38" spans="2:10" x14ac:dyDescent="0.25">
      <c r="B38" s="8" t="s">
        <v>25</v>
      </c>
      <c r="C38" s="2"/>
      <c r="D38" s="2"/>
      <c r="E38" s="2"/>
      <c r="F38" s="2"/>
      <c r="G38" s="2"/>
      <c r="H38" s="2"/>
      <c r="I38" s="2"/>
      <c r="J38" s="2"/>
    </row>
    <row r="39" spans="2:10" x14ac:dyDescent="0.25">
      <c r="B39" s="14" t="s">
        <v>26</v>
      </c>
      <c r="C39" s="2"/>
      <c r="D39" s="2"/>
      <c r="E39" s="2"/>
      <c r="F39" s="2"/>
      <c r="G39" s="2"/>
      <c r="H39" s="2"/>
      <c r="I39" s="2"/>
      <c r="J39" s="2"/>
    </row>
    <row r="40" spans="2:10" x14ac:dyDescent="0.25">
      <c r="B40" s="14" t="s">
        <v>27</v>
      </c>
      <c r="C40" s="2"/>
      <c r="D40" s="2"/>
      <c r="E40" s="2"/>
      <c r="F40" s="2"/>
      <c r="G40" s="2"/>
      <c r="H40" s="2"/>
      <c r="I40" s="2"/>
      <c r="J40" s="2"/>
    </row>
    <row r="41" spans="2:10" x14ac:dyDescent="0.25">
      <c r="B41" s="14" t="s">
        <v>57</v>
      </c>
      <c r="C41" s="2">
        <v>45</v>
      </c>
      <c r="D41" s="2">
        <v>48</v>
      </c>
      <c r="E41" s="2">
        <v>47</v>
      </c>
      <c r="F41" s="2">
        <v>45</v>
      </c>
      <c r="G41" s="2">
        <v>33</v>
      </c>
      <c r="H41" s="2">
        <v>26</v>
      </c>
      <c r="I41" s="2">
        <v>39</v>
      </c>
      <c r="J41" s="2">
        <v>30</v>
      </c>
    </row>
    <row r="42" spans="2:10" x14ac:dyDescent="0.25">
      <c r="B42" s="14" t="s">
        <v>277</v>
      </c>
      <c r="C42" s="42">
        <v>168</v>
      </c>
      <c r="D42" s="42">
        <v>209</v>
      </c>
      <c r="E42" s="42">
        <v>203</v>
      </c>
      <c r="F42" s="42">
        <v>214</v>
      </c>
      <c r="G42" s="2">
        <v>207</v>
      </c>
      <c r="H42" s="2">
        <v>216</v>
      </c>
      <c r="I42" s="2">
        <v>227</v>
      </c>
      <c r="J42" s="2">
        <v>213</v>
      </c>
    </row>
    <row r="43" spans="2:10" x14ac:dyDescent="0.25">
      <c r="B43" s="14" t="s">
        <v>278</v>
      </c>
      <c r="C43" s="2">
        <v>10</v>
      </c>
      <c r="D43" s="2">
        <v>9</v>
      </c>
      <c r="E43" s="2">
        <v>9</v>
      </c>
      <c r="F43" s="2">
        <v>7</v>
      </c>
      <c r="G43" s="2">
        <v>8</v>
      </c>
      <c r="H43" s="2">
        <v>9</v>
      </c>
      <c r="I43" s="2">
        <v>6</v>
      </c>
      <c r="J43" s="2">
        <v>8</v>
      </c>
    </row>
    <row r="44" spans="2:10" x14ac:dyDescent="0.25">
      <c r="B44" s="2"/>
      <c r="C44" s="2"/>
      <c r="D44" s="2"/>
      <c r="E44" s="2"/>
      <c r="F44" s="2"/>
      <c r="G44" s="2"/>
      <c r="H44" s="2"/>
      <c r="I44" s="2"/>
      <c r="J44" s="2"/>
    </row>
    <row r="45" spans="2:10" x14ac:dyDescent="0.25">
      <c r="B45" s="17" t="s">
        <v>56</v>
      </c>
      <c r="C45" s="2"/>
      <c r="D45" s="2"/>
      <c r="E45" s="2"/>
      <c r="F45" s="2"/>
      <c r="G45" s="2"/>
      <c r="H45" s="2"/>
      <c r="I45" s="2"/>
      <c r="J45" s="2"/>
    </row>
    <row r="46" spans="2:10" x14ac:dyDescent="0.25">
      <c r="B46" s="15" t="s">
        <v>58</v>
      </c>
      <c r="C46" s="107">
        <f>C31/Folkmängd!C11*100000</f>
        <v>72.537738828584651</v>
      </c>
      <c r="D46" s="107">
        <f>D31/Folkmängd!D11*100000</f>
        <v>72.172575951144722</v>
      </c>
      <c r="E46" s="107">
        <f>E31/Folkmängd!E11*100000</f>
        <v>71.112989065152775</v>
      </c>
      <c r="F46" s="107">
        <f>F31/Folkmängd!F11*100000</f>
        <v>69.037054586787619</v>
      </c>
      <c r="G46" s="107">
        <f>G31/Folkmängd!G11*100000</f>
        <v>68.466391762746753</v>
      </c>
      <c r="H46" s="107">
        <f>H31/Folkmängd!H11*100000</f>
        <v>70.043585791528116</v>
      </c>
      <c r="I46" s="107">
        <f>I31/Folkmängd!I11*100000</f>
        <v>71.117703882210179</v>
      </c>
      <c r="J46" s="107">
        <f>J31/Folkmängd!J11*100000</f>
        <v>72.502660000188314</v>
      </c>
    </row>
    <row r="47" spans="2:10" x14ac:dyDescent="0.25">
      <c r="B47" s="15" t="s">
        <v>31</v>
      </c>
      <c r="C47" s="107">
        <f>C31/Folkmängd!C12*100000</f>
        <v>60.62807382499858</v>
      </c>
      <c r="D47" s="107">
        <f>D31/Folkmängd!D12*100000</f>
        <v>60.346291215996047</v>
      </c>
      <c r="E47" s="107">
        <f>E31/Folkmängd!E12*100000</f>
        <v>59.500942903150325</v>
      </c>
      <c r="F47" s="107">
        <f>F31/Folkmängd!F12*100000</f>
        <v>57.819885061627602</v>
      </c>
      <c r="G47" s="107">
        <f>G31/Folkmängd!G12*100000</f>
        <v>57.40840502582018</v>
      </c>
      <c r="H47" s="107">
        <f>H31/Folkmängd!H12*100000</f>
        <v>58.844647773916222</v>
      </c>
      <c r="I47" s="107">
        <f>I31/Folkmängd!I12*100000</f>
        <v>59.906336171916344</v>
      </c>
      <c r="J47" s="107">
        <f>J31/Folkmängd!J12*100000</f>
        <v>61.223829658969898</v>
      </c>
    </row>
    <row r="48" spans="2:10" x14ac:dyDescent="0.25">
      <c r="B48" s="10"/>
      <c r="I48" s="1"/>
    </row>
    <row r="49" spans="2:12" x14ac:dyDescent="0.25">
      <c r="B49" s="89" t="s">
        <v>274</v>
      </c>
      <c r="I49" s="1"/>
    </row>
    <row r="50" spans="2:12" x14ac:dyDescent="0.25">
      <c r="B50" s="89" t="s">
        <v>275</v>
      </c>
      <c r="I50" s="1"/>
    </row>
    <row r="51" spans="2:12" x14ac:dyDescent="0.25">
      <c r="B51" s="89" t="s">
        <v>276</v>
      </c>
      <c r="I51" s="1"/>
    </row>
    <row r="52" spans="2:12" x14ac:dyDescent="0.25">
      <c r="B52" s="9"/>
      <c r="I52" s="1"/>
    </row>
    <row r="53" spans="2:12" x14ac:dyDescent="0.25">
      <c r="B53" s="10"/>
      <c r="I53" s="1"/>
    </row>
    <row r="54" spans="2:12" x14ac:dyDescent="0.25">
      <c r="B54" s="6"/>
      <c r="I54" s="1"/>
    </row>
    <row r="55" spans="2:12" x14ac:dyDescent="0.25">
      <c r="B55" s="6"/>
      <c r="I55" s="1"/>
    </row>
    <row r="56" spans="2:12" ht="18.75" x14ac:dyDescent="0.3">
      <c r="B56" s="18" t="s">
        <v>52</v>
      </c>
      <c r="C56" s="19">
        <v>2014</v>
      </c>
      <c r="D56" s="19">
        <v>2015</v>
      </c>
      <c r="E56" s="19">
        <v>2016</v>
      </c>
      <c r="F56" s="19">
        <v>2017</v>
      </c>
      <c r="G56" s="19">
        <v>2018</v>
      </c>
      <c r="H56" s="19">
        <v>2019</v>
      </c>
      <c r="I56" s="19">
        <v>2020</v>
      </c>
      <c r="J56" s="19">
        <v>2021</v>
      </c>
    </row>
    <row r="57" spans="2:12" x14ac:dyDescent="0.25">
      <c r="B57" s="2" t="s">
        <v>244</v>
      </c>
      <c r="C57" s="100">
        <v>216</v>
      </c>
      <c r="D57" s="100">
        <v>240</v>
      </c>
      <c r="E57" s="100">
        <v>250</v>
      </c>
      <c r="F57" s="100">
        <v>238.5</v>
      </c>
      <c r="G57" s="100">
        <v>258.2</v>
      </c>
      <c r="H57" s="100">
        <v>250.47</v>
      </c>
      <c r="I57" s="100">
        <v>259.10000000000002</v>
      </c>
      <c r="J57" s="100">
        <v>262.3</v>
      </c>
      <c r="L57" s="175"/>
    </row>
    <row r="58" spans="2:12" x14ac:dyDescent="0.25">
      <c r="B58" s="2" t="s">
        <v>55</v>
      </c>
      <c r="C58" s="100"/>
      <c r="D58" s="100"/>
      <c r="E58" s="100"/>
      <c r="F58" s="100"/>
      <c r="G58" s="100"/>
      <c r="H58" s="100"/>
      <c r="I58" s="100"/>
      <c r="J58" s="100"/>
    </row>
    <row r="59" spans="2:12" x14ac:dyDescent="0.25">
      <c r="B59" s="14" t="s">
        <v>20</v>
      </c>
      <c r="C59" s="100">
        <v>115</v>
      </c>
      <c r="D59" s="100">
        <v>144.4</v>
      </c>
      <c r="E59" s="100">
        <v>154.5</v>
      </c>
      <c r="F59" s="100">
        <v>147.1</v>
      </c>
      <c r="G59" s="100">
        <v>185.7</v>
      </c>
      <c r="H59" s="100">
        <v>185.1</v>
      </c>
      <c r="I59" s="100">
        <v>194.3</v>
      </c>
      <c r="J59" s="100">
        <v>207.1</v>
      </c>
      <c r="L59" s="175"/>
    </row>
    <row r="60" spans="2:12" x14ac:dyDescent="0.25">
      <c r="B60" s="14" t="s">
        <v>21</v>
      </c>
      <c r="C60" s="100"/>
      <c r="D60" s="100"/>
      <c r="E60" s="100"/>
      <c r="F60" s="100"/>
      <c r="G60" s="100"/>
      <c r="H60" s="100"/>
      <c r="I60" s="100"/>
      <c r="J60" s="100"/>
    </row>
    <row r="61" spans="2:12" x14ac:dyDescent="0.25">
      <c r="B61" s="14" t="s">
        <v>22</v>
      </c>
      <c r="C61" s="100">
        <v>74</v>
      </c>
      <c r="D61" s="100">
        <v>62.83</v>
      </c>
      <c r="E61" s="100">
        <v>61</v>
      </c>
      <c r="F61" s="100">
        <v>51.9</v>
      </c>
      <c r="G61" s="100">
        <v>49.8</v>
      </c>
      <c r="H61" s="100">
        <v>48.8</v>
      </c>
      <c r="I61" s="100">
        <v>41.2</v>
      </c>
      <c r="J61" s="100">
        <v>38.799999999999997</v>
      </c>
      <c r="L61" s="175"/>
    </row>
    <row r="62" spans="2:12" x14ac:dyDescent="0.25">
      <c r="B62" s="14" t="s">
        <v>23</v>
      </c>
      <c r="C62" s="100">
        <v>9</v>
      </c>
      <c r="D62" s="100">
        <v>11.5</v>
      </c>
      <c r="E62" s="100">
        <v>13.8</v>
      </c>
      <c r="F62" s="100">
        <v>13.1</v>
      </c>
      <c r="G62" s="100">
        <v>7.2</v>
      </c>
      <c r="H62" s="100">
        <v>3.75</v>
      </c>
      <c r="I62" s="100">
        <v>4.9000000000000004</v>
      </c>
      <c r="J62" s="100">
        <v>4.3</v>
      </c>
      <c r="L62" s="175"/>
    </row>
    <row r="63" spans="2:12" x14ac:dyDescent="0.25">
      <c r="B63" s="14" t="s">
        <v>24</v>
      </c>
      <c r="C63" s="2"/>
      <c r="D63" s="2"/>
      <c r="E63" s="2"/>
      <c r="F63" s="2"/>
      <c r="G63" s="2"/>
      <c r="H63" s="2"/>
      <c r="I63" s="2"/>
      <c r="J63" s="2"/>
    </row>
    <row r="64" spans="2:12" x14ac:dyDescent="0.25">
      <c r="B64" s="8" t="s">
        <v>25</v>
      </c>
      <c r="C64" s="2"/>
      <c r="D64" s="2"/>
      <c r="E64" s="2"/>
      <c r="F64" s="2"/>
      <c r="G64" s="2"/>
      <c r="H64" s="2"/>
      <c r="I64" s="2"/>
      <c r="J64" s="2"/>
    </row>
    <row r="65" spans="2:12" x14ac:dyDescent="0.25">
      <c r="B65" s="14" t="s">
        <v>26</v>
      </c>
      <c r="C65" s="2"/>
      <c r="D65" s="2"/>
      <c r="E65" s="2"/>
      <c r="F65" s="2"/>
      <c r="G65" s="2"/>
      <c r="H65" s="2"/>
      <c r="I65" s="2"/>
      <c r="J65" s="2"/>
    </row>
    <row r="66" spans="2:12" x14ac:dyDescent="0.25">
      <c r="B66" s="14" t="s">
        <v>27</v>
      </c>
      <c r="C66" s="2"/>
      <c r="D66" s="2"/>
      <c r="E66" s="2"/>
      <c r="F66" s="2"/>
      <c r="G66" s="2"/>
      <c r="H66" s="2"/>
      <c r="I66" s="2"/>
      <c r="J66" s="2"/>
    </row>
    <row r="67" spans="2:12" x14ac:dyDescent="0.25">
      <c r="B67" s="14" t="s">
        <v>57</v>
      </c>
      <c r="C67" s="2"/>
      <c r="D67" s="2"/>
      <c r="E67" s="2"/>
      <c r="F67" s="2"/>
      <c r="G67" s="2"/>
      <c r="H67" s="2"/>
      <c r="I67" s="2"/>
      <c r="J67" s="2"/>
    </row>
    <row r="68" spans="2:12" x14ac:dyDescent="0.25">
      <c r="B68" s="14" t="s">
        <v>277</v>
      </c>
      <c r="C68" s="100">
        <v>8.1999999999999993</v>
      </c>
      <c r="D68" s="100">
        <v>7.7</v>
      </c>
      <c r="E68" s="100">
        <v>7.1</v>
      </c>
      <c r="F68" s="100">
        <v>17.8</v>
      </c>
      <c r="G68" s="100">
        <v>14.2</v>
      </c>
      <c r="H68" s="100">
        <v>11.4</v>
      </c>
      <c r="I68" s="100">
        <v>15.5</v>
      </c>
      <c r="J68" s="100">
        <v>8.5</v>
      </c>
      <c r="L68" s="175"/>
    </row>
    <row r="69" spans="2:12" x14ac:dyDescent="0.25">
      <c r="B69" s="14" t="s">
        <v>278</v>
      </c>
      <c r="C69" s="100">
        <v>10</v>
      </c>
      <c r="D69" s="100">
        <v>13.08</v>
      </c>
      <c r="E69" s="100">
        <v>13.3</v>
      </c>
      <c r="F69" s="100">
        <v>8.6</v>
      </c>
      <c r="G69" s="100">
        <v>1.33</v>
      </c>
      <c r="H69" s="100">
        <v>1.42</v>
      </c>
      <c r="I69" s="100">
        <v>3.2</v>
      </c>
      <c r="J69" s="100">
        <v>3.6</v>
      </c>
      <c r="L69" s="175"/>
    </row>
    <row r="70" spans="2:12" x14ac:dyDescent="0.25">
      <c r="B70" s="2"/>
      <c r="H70" s="147"/>
      <c r="I70" s="1"/>
      <c r="J70" s="161"/>
    </row>
    <row r="71" spans="2:12" x14ac:dyDescent="0.25">
      <c r="B71" s="17" t="s">
        <v>56</v>
      </c>
      <c r="H71" s="147"/>
      <c r="I71" s="1"/>
      <c r="J71" s="161"/>
    </row>
    <row r="72" spans="2:12" x14ac:dyDescent="0.25">
      <c r="B72" s="15" t="s">
        <v>58</v>
      </c>
      <c r="C72" s="36">
        <f>C57/Folkmängd!C17*100000</f>
        <v>83.442142917848116</v>
      </c>
      <c r="D72" s="36">
        <f>D57/Folkmängd!D17*100000</f>
        <v>91.568802508985186</v>
      </c>
      <c r="E72" s="36">
        <f>E57/Folkmängd!E17*100000</f>
        <v>93.98884916293531</v>
      </c>
      <c r="F72" s="36">
        <f>F57/Folkmängd!F17*100000</f>
        <v>87.834627835290732</v>
      </c>
      <c r="G72" s="36">
        <f>G57/Folkmängd!G17*100000</f>
        <v>91.872062282284205</v>
      </c>
      <c r="H72" s="36">
        <f>H57/Folkmängd!H17*100000</f>
        <v>86.615670841776918</v>
      </c>
      <c r="I72" s="36">
        <f>I57/Folkmängd!I17*100000</f>
        <v>87.558927394691054</v>
      </c>
      <c r="J72" s="36">
        <f>J57/Folkmängd!J17*100000</f>
        <v>87.490785615887773</v>
      </c>
    </row>
    <row r="73" spans="2:12" x14ac:dyDescent="0.25">
      <c r="B73" s="15" t="s">
        <v>31</v>
      </c>
      <c r="C73" s="36">
        <f>C57/Folkmängd!C18*100000</f>
        <v>66.324603664434349</v>
      </c>
      <c r="D73" s="36">
        <f>D57/Folkmängd!D18*100000</f>
        <v>72.926162260711038</v>
      </c>
      <c r="E73" s="36">
        <f>E57/Folkmängd!E18*100000</f>
        <v>75.181412748963254</v>
      </c>
      <c r="F73" s="36">
        <f>F57/Folkmängd!F18*100000</f>
        <v>70.489346798719666</v>
      </c>
      <c r="G73" s="36">
        <f>G57/Folkmängd!G18*100000</f>
        <v>74.09958387143061</v>
      </c>
      <c r="H73" s="36">
        <f>H57/Folkmängd!H18*100000</f>
        <v>70.161432641159024</v>
      </c>
      <c r="I73" s="36">
        <f>I57/Folkmängd!I18*100000</f>
        <v>71.155124212515176</v>
      </c>
      <c r="J73" s="36">
        <f>J57/Folkmängd!J18*100000</f>
        <v>71.124102475107932</v>
      </c>
    </row>
    <row r="74" spans="2:12" x14ac:dyDescent="0.25">
      <c r="B74" s="10"/>
      <c r="H74" s="147"/>
      <c r="I74" s="1"/>
    </row>
    <row r="75" spans="2:12" x14ac:dyDescent="0.25">
      <c r="B75" s="89" t="s">
        <v>308</v>
      </c>
      <c r="I75" s="1"/>
    </row>
    <row r="76" spans="2:12" x14ac:dyDescent="0.25">
      <c r="B76" s="89" t="s">
        <v>307</v>
      </c>
      <c r="I76" s="1"/>
    </row>
    <row r="77" spans="2:12" x14ac:dyDescent="0.25">
      <c r="B77" s="89" t="s">
        <v>279</v>
      </c>
      <c r="I77" s="1"/>
    </row>
    <row r="78" spans="2:12" x14ac:dyDescent="0.25">
      <c r="B78" s="9"/>
      <c r="I78" s="1"/>
    </row>
    <row r="79" spans="2:12" x14ac:dyDescent="0.25">
      <c r="B79" s="10"/>
      <c r="I79" s="1"/>
    </row>
    <row r="80" spans="2:12" x14ac:dyDescent="0.25">
      <c r="B80" s="6"/>
      <c r="I80" s="1"/>
    </row>
    <row r="81" spans="2:10" x14ac:dyDescent="0.25">
      <c r="B81" s="6"/>
      <c r="I81" s="1"/>
    </row>
    <row r="82" spans="2:10" ht="18.75" x14ac:dyDescent="0.3">
      <c r="B82" s="18" t="s">
        <v>53</v>
      </c>
      <c r="C82" s="19">
        <v>2014</v>
      </c>
      <c r="D82" s="19">
        <v>2015</v>
      </c>
      <c r="E82" s="19">
        <v>2016</v>
      </c>
      <c r="F82" s="19">
        <v>2017</v>
      </c>
      <c r="G82" s="19">
        <v>2018</v>
      </c>
      <c r="H82" s="19">
        <v>2019</v>
      </c>
      <c r="I82" s="19">
        <v>2020</v>
      </c>
      <c r="J82" s="19">
        <v>2021</v>
      </c>
    </row>
    <row r="83" spans="2:10" x14ac:dyDescent="0.25">
      <c r="B83" s="2" t="s">
        <v>244</v>
      </c>
      <c r="C83" s="13">
        <v>2577</v>
      </c>
      <c r="D83" s="13">
        <v>2441</v>
      </c>
      <c r="E83" s="13">
        <v>2329</v>
      </c>
      <c r="F83" s="13">
        <v>2348</v>
      </c>
      <c r="G83" s="13">
        <v>2300.1999999999998</v>
      </c>
      <c r="H83" s="13">
        <v>2388</v>
      </c>
      <c r="I83" s="13">
        <v>2482.1</v>
      </c>
      <c r="J83" s="13">
        <v>2777.6</v>
      </c>
    </row>
    <row r="84" spans="2:10" x14ac:dyDescent="0.25">
      <c r="B84" s="2" t="s">
        <v>55</v>
      </c>
      <c r="C84" s="2"/>
      <c r="D84" s="2"/>
      <c r="E84" s="2"/>
      <c r="F84" s="2"/>
      <c r="G84" s="2"/>
      <c r="H84" s="2"/>
      <c r="I84" s="2"/>
      <c r="J84" s="2"/>
    </row>
    <row r="85" spans="2:10" x14ac:dyDescent="0.25">
      <c r="B85" s="14" t="s">
        <v>20</v>
      </c>
      <c r="C85" s="2"/>
      <c r="D85" s="2"/>
      <c r="E85" s="2"/>
      <c r="F85" s="2"/>
      <c r="G85" s="2"/>
      <c r="H85" s="2"/>
      <c r="I85" s="2"/>
      <c r="J85" s="2"/>
    </row>
    <row r="86" spans="2:10" x14ac:dyDescent="0.25">
      <c r="B86" s="14" t="s">
        <v>21</v>
      </c>
      <c r="C86" s="12">
        <v>1377</v>
      </c>
      <c r="D86" s="12">
        <v>1209</v>
      </c>
      <c r="E86" s="12">
        <v>1127</v>
      </c>
      <c r="F86" s="12">
        <v>1117.0999999999999</v>
      </c>
      <c r="G86" s="13">
        <v>1026.5</v>
      </c>
      <c r="H86" s="13">
        <v>1063</v>
      </c>
      <c r="I86" s="13">
        <v>1006.8</v>
      </c>
      <c r="J86" s="13">
        <v>1178.5</v>
      </c>
    </row>
    <row r="87" spans="2:10" x14ac:dyDescent="0.25">
      <c r="B87" s="14" t="s">
        <v>22</v>
      </c>
      <c r="C87" s="2">
        <v>353</v>
      </c>
      <c r="D87" s="2">
        <v>331</v>
      </c>
      <c r="E87" s="2">
        <v>320</v>
      </c>
      <c r="F87" s="2">
        <v>325</v>
      </c>
      <c r="G87" s="13">
        <v>296</v>
      </c>
      <c r="H87" s="13">
        <v>298</v>
      </c>
      <c r="I87" s="13">
        <v>268.5</v>
      </c>
      <c r="J87" s="13">
        <v>259.3</v>
      </c>
    </row>
    <row r="88" spans="2:10" x14ac:dyDescent="0.25">
      <c r="B88" s="14" t="s">
        <v>23</v>
      </c>
      <c r="C88" s="2">
        <v>5</v>
      </c>
      <c r="D88" s="2">
        <v>5</v>
      </c>
      <c r="E88" s="2">
        <v>7</v>
      </c>
      <c r="F88" s="100">
        <v>5.4</v>
      </c>
      <c r="G88" s="13">
        <v>6.4</v>
      </c>
      <c r="H88" s="13">
        <v>6</v>
      </c>
      <c r="I88" s="13">
        <v>2.2999999999999998</v>
      </c>
      <c r="J88" s="13">
        <v>0</v>
      </c>
    </row>
    <row r="89" spans="2:10" x14ac:dyDescent="0.25">
      <c r="B89" s="14" t="s">
        <v>24</v>
      </c>
      <c r="C89" s="2"/>
      <c r="D89" s="2"/>
      <c r="E89" s="2"/>
      <c r="F89" s="2"/>
      <c r="G89" s="13"/>
      <c r="H89" s="13"/>
      <c r="I89" s="13"/>
      <c r="J89" s="13"/>
    </row>
    <row r="90" spans="2:10" x14ac:dyDescent="0.25">
      <c r="B90" s="8" t="s">
        <v>25</v>
      </c>
      <c r="C90" s="2">
        <v>492</v>
      </c>
      <c r="D90" s="2">
        <v>479</v>
      </c>
      <c r="E90" s="2">
        <v>452</v>
      </c>
      <c r="F90" s="100">
        <v>425.5</v>
      </c>
      <c r="G90" s="13">
        <v>406.6</v>
      </c>
      <c r="H90" s="13">
        <v>351</v>
      </c>
      <c r="I90" s="13">
        <v>337.5</v>
      </c>
      <c r="J90" s="13">
        <v>369.3</v>
      </c>
    </row>
    <row r="91" spans="2:10" x14ac:dyDescent="0.25">
      <c r="B91" s="14" t="s">
        <v>26</v>
      </c>
      <c r="C91" s="2"/>
      <c r="D91" s="2"/>
      <c r="E91" s="2"/>
      <c r="F91" s="2"/>
      <c r="G91" s="13"/>
      <c r="H91" s="13"/>
      <c r="I91" s="13"/>
      <c r="J91" s="13"/>
    </row>
    <row r="92" spans="2:10" x14ac:dyDescent="0.25">
      <c r="B92" s="14" t="s">
        <v>27</v>
      </c>
      <c r="C92" s="2"/>
      <c r="D92" s="2"/>
      <c r="E92" s="2"/>
      <c r="F92" s="2"/>
      <c r="G92" s="13"/>
      <c r="H92" s="13"/>
      <c r="I92" s="13"/>
      <c r="J92" s="13"/>
    </row>
    <row r="93" spans="2:10" x14ac:dyDescent="0.25">
      <c r="B93" s="14" t="s">
        <v>57</v>
      </c>
      <c r="C93" s="100">
        <v>209</v>
      </c>
      <c r="D93" s="2">
        <v>251</v>
      </c>
      <c r="E93" s="2">
        <v>257</v>
      </c>
      <c r="F93" s="100">
        <v>257.5</v>
      </c>
      <c r="G93" s="13">
        <v>250.7</v>
      </c>
      <c r="H93" s="13">
        <v>255</v>
      </c>
      <c r="I93" s="13">
        <v>285.2</v>
      </c>
      <c r="J93" s="13">
        <v>322.7</v>
      </c>
    </row>
    <row r="94" spans="2:10" x14ac:dyDescent="0.25">
      <c r="B94" s="14" t="s">
        <v>29</v>
      </c>
      <c r="C94" s="100">
        <v>41.4</v>
      </c>
      <c r="D94" s="2">
        <v>57</v>
      </c>
      <c r="E94" s="2">
        <v>63</v>
      </c>
      <c r="F94" s="100">
        <v>70.900000000000006</v>
      </c>
      <c r="G94" s="13">
        <v>61.2</v>
      </c>
      <c r="H94" s="13">
        <v>59</v>
      </c>
      <c r="I94" s="13">
        <v>73</v>
      </c>
      <c r="J94" s="13">
        <v>83.7</v>
      </c>
    </row>
    <row r="95" spans="2:10" x14ac:dyDescent="0.25">
      <c r="B95" s="14" t="s">
        <v>265</v>
      </c>
      <c r="C95" s="12">
        <f>C83-SUM(C85:C94)</f>
        <v>99.599999999999909</v>
      </c>
      <c r="D95" s="12">
        <f t="shared" ref="D95:E95" si="1">D83-SUM(D85:D94)</f>
        <v>109</v>
      </c>
      <c r="E95" s="12">
        <f t="shared" si="1"/>
        <v>103</v>
      </c>
      <c r="F95" s="12">
        <f>F83-SUM(F85:F94)</f>
        <v>146.59999999999991</v>
      </c>
      <c r="G95" s="12">
        <f>G83-SUM(G85:G94)</f>
        <v>252.79999999999973</v>
      </c>
      <c r="H95" s="12">
        <f>H83-SUM(H85:H94)</f>
        <v>356</v>
      </c>
      <c r="I95" s="12">
        <f>I83-SUM(I85:I94)</f>
        <v>508.79999999999995</v>
      </c>
      <c r="J95" s="12">
        <v>564.10000000000036</v>
      </c>
    </row>
    <row r="96" spans="2:10" x14ac:dyDescent="0.25">
      <c r="B96" s="2"/>
      <c r="C96" s="2"/>
      <c r="D96" s="2"/>
      <c r="E96" s="2"/>
      <c r="F96" s="2"/>
      <c r="G96" s="2"/>
      <c r="H96" s="2"/>
      <c r="I96" s="2"/>
      <c r="J96" s="2"/>
    </row>
    <row r="97" spans="2:10" x14ac:dyDescent="0.25">
      <c r="B97" s="17" t="s">
        <v>56</v>
      </c>
      <c r="C97" s="2"/>
      <c r="D97" s="2"/>
      <c r="E97" s="2"/>
      <c r="F97" s="2"/>
      <c r="G97" s="2"/>
      <c r="H97" s="2"/>
      <c r="I97" s="2"/>
      <c r="J97" s="2"/>
    </row>
    <row r="98" spans="2:10" x14ac:dyDescent="0.25">
      <c r="B98" s="15" t="s">
        <v>58</v>
      </c>
      <c r="C98" s="36">
        <f>C83/Folkmängd!C23*100000</f>
        <v>61.677114918322701</v>
      </c>
      <c r="D98" s="36">
        <f>D83/Folkmängd!D23*100000</f>
        <v>57.660386700174726</v>
      </c>
      <c r="E98" s="36">
        <f>E83/Folkmängd!E23*100000</f>
        <v>54.415506433366119</v>
      </c>
      <c r="F98" s="36">
        <f>F83/Folkmängd!F23*100000</f>
        <v>54.344215986318595</v>
      </c>
      <c r="G98" s="36">
        <f>G83/Folkmängd!G23*100000</f>
        <v>52.797023424920553</v>
      </c>
      <c r="H98" s="36">
        <f>H83/Folkmängd!H23*100000</f>
        <v>54.356065003298241</v>
      </c>
      <c r="I98" s="36">
        <f>I83/Folkmängd!I23*100000</f>
        <v>55.935240328179248</v>
      </c>
      <c r="J98" s="36">
        <f>J83/Folkmängd!J23*100000</f>
        <v>62.141788697335748</v>
      </c>
    </row>
    <row r="99" spans="2:10" x14ac:dyDescent="0.25">
      <c r="B99" s="15" t="s">
        <v>31</v>
      </c>
      <c r="C99" s="36">
        <f>C83/Folkmängd!C24*100000</f>
        <v>50.439846421726443</v>
      </c>
      <c r="D99" s="36">
        <f>D83/Folkmängd!D24*100000</f>
        <v>47.253069320117184</v>
      </c>
      <c r="E99" s="36">
        <f>E83/Folkmängd!E24*100000</f>
        <v>44.668329502290476</v>
      </c>
      <c r="F99" s="36">
        <f>F83/Folkmängd!F24*100000</f>
        <v>44.653070554704101</v>
      </c>
      <c r="G99" s="36">
        <f>G83/Folkmängd!G24*100000</f>
        <v>43.43590428238889</v>
      </c>
      <c r="H99" s="36">
        <f>H83/Folkmängd!H24*100000</f>
        <v>44.818036519567919</v>
      </c>
      <c r="I99" s="36">
        <f>I83/Folkmängd!I24*100000</f>
        <v>46.24244072747868</v>
      </c>
      <c r="J99" s="36">
        <f>J83/Folkmängd!J24*100000</f>
        <v>51.519382182892691</v>
      </c>
    </row>
    <row r="100" spans="2:10" x14ac:dyDescent="0.25">
      <c r="B100" s="10"/>
      <c r="I100" s="1"/>
    </row>
    <row r="101" spans="2:10" x14ac:dyDescent="0.25">
      <c r="B101" s="89" t="s">
        <v>242</v>
      </c>
      <c r="I101" s="1"/>
    </row>
    <row r="102" spans="2:10" x14ac:dyDescent="0.25">
      <c r="B102" s="128" t="s">
        <v>342</v>
      </c>
      <c r="C102" s="131"/>
      <c r="D102" s="131"/>
      <c r="E102" s="131"/>
      <c r="F102" s="131"/>
      <c r="G102" s="131"/>
      <c r="H102" s="131"/>
      <c r="I102" s="131"/>
    </row>
    <row r="103" spans="2:10" x14ac:dyDescent="0.25">
      <c r="B103" s="141" t="s">
        <v>321</v>
      </c>
      <c r="C103" s="131"/>
      <c r="D103" s="131"/>
      <c r="E103" s="131"/>
      <c r="F103" s="131"/>
      <c r="G103" s="131"/>
      <c r="H103" s="131"/>
      <c r="I103" s="131"/>
    </row>
    <row r="104" spans="2:10" x14ac:dyDescent="0.25">
      <c r="B104" s="90"/>
      <c r="I104" s="1"/>
    </row>
    <row r="105" spans="2:10" x14ac:dyDescent="0.25">
      <c r="B105" s="10"/>
      <c r="I105" s="1"/>
    </row>
    <row r="106" spans="2:10" x14ac:dyDescent="0.25">
      <c r="B106" s="6"/>
      <c r="I106" s="1"/>
    </row>
    <row r="107" spans="2:10" x14ac:dyDescent="0.25">
      <c r="B107" s="6"/>
      <c r="I107" s="1"/>
    </row>
    <row r="108" spans="2:10" ht="18.75" x14ac:dyDescent="0.3">
      <c r="B108" s="18" t="s">
        <v>54</v>
      </c>
      <c r="C108" s="19">
        <v>2014</v>
      </c>
      <c r="D108" s="19">
        <v>2015</v>
      </c>
      <c r="E108" s="19">
        <v>2016</v>
      </c>
      <c r="F108" s="19">
        <v>2017</v>
      </c>
      <c r="G108" s="19">
        <v>2018</v>
      </c>
      <c r="H108" s="19">
        <v>2019</v>
      </c>
      <c r="I108" s="19">
        <v>2020</v>
      </c>
      <c r="J108" s="19">
        <v>2021</v>
      </c>
    </row>
    <row r="109" spans="2:10" x14ac:dyDescent="0.25">
      <c r="B109" s="2" t="s">
        <v>244</v>
      </c>
      <c r="C109" s="13">
        <f t="shared" ref="C109:H109" si="2">SUM(C111:C121)</f>
        <v>12088</v>
      </c>
      <c r="D109" s="13">
        <f t="shared" si="2"/>
        <v>11407</v>
      </c>
      <c r="E109" s="13">
        <f t="shared" si="2"/>
        <v>10731</v>
      </c>
      <c r="F109" s="13">
        <f t="shared" si="2"/>
        <v>9879</v>
      </c>
      <c r="G109" s="13">
        <f t="shared" si="2"/>
        <v>9904</v>
      </c>
      <c r="H109" s="13">
        <f t="shared" si="2"/>
        <v>10143</v>
      </c>
      <c r="I109" s="13">
        <f>SUM(I111:I121)</f>
        <v>10672</v>
      </c>
      <c r="J109" s="13">
        <f>SUM(J111:J121)</f>
        <v>12025</v>
      </c>
    </row>
    <row r="110" spans="2:10" x14ac:dyDescent="0.25">
      <c r="B110" s="2" t="s">
        <v>55</v>
      </c>
      <c r="C110" s="40"/>
      <c r="D110" s="40"/>
      <c r="E110" s="40"/>
      <c r="F110" s="40"/>
      <c r="G110" s="2"/>
      <c r="H110" s="2"/>
      <c r="I110" s="2"/>
      <c r="J110" s="2"/>
    </row>
    <row r="111" spans="2:10" x14ac:dyDescent="0.25">
      <c r="B111" s="14" t="s">
        <v>245</v>
      </c>
      <c r="C111" s="39">
        <f>1513+754</f>
        <v>2267</v>
      </c>
      <c r="D111" s="39">
        <f>1319+753</f>
        <v>2072</v>
      </c>
      <c r="E111" s="39">
        <f>1181+641</f>
        <v>1822</v>
      </c>
      <c r="F111" s="39">
        <f>1118+626</f>
        <v>1744</v>
      </c>
      <c r="G111" s="13">
        <f>1125+614</f>
        <v>1739</v>
      </c>
      <c r="H111" s="13">
        <f>1122+594</f>
        <v>1716</v>
      </c>
      <c r="I111" s="13">
        <f>1058+538</f>
        <v>1596</v>
      </c>
      <c r="J111" s="13">
        <f>1108+621</f>
        <v>1729</v>
      </c>
    </row>
    <row r="112" spans="2:10" x14ac:dyDescent="0.25">
      <c r="B112" s="14" t="s">
        <v>21</v>
      </c>
      <c r="C112" s="2"/>
      <c r="D112" s="2"/>
      <c r="E112" s="2"/>
      <c r="F112" s="2"/>
      <c r="G112" s="36"/>
      <c r="H112" s="36"/>
      <c r="I112" s="36"/>
      <c r="J112" s="36"/>
    </row>
    <row r="113" spans="2:10" x14ac:dyDescent="0.25">
      <c r="B113" s="14" t="s">
        <v>22</v>
      </c>
      <c r="C113" s="39">
        <v>3746</v>
      </c>
      <c r="D113" s="39">
        <v>3550</v>
      </c>
      <c r="E113" s="39">
        <v>3392</v>
      </c>
      <c r="F113" s="39">
        <v>2983</v>
      </c>
      <c r="G113" s="37">
        <v>2909</v>
      </c>
      <c r="H113" s="37">
        <v>3097</v>
      </c>
      <c r="I113" s="37">
        <v>3931</v>
      </c>
      <c r="J113" s="37">
        <v>5087</v>
      </c>
    </row>
    <row r="114" spans="2:10" x14ac:dyDescent="0.25">
      <c r="B114" s="14" t="s">
        <v>23</v>
      </c>
      <c r="C114" s="2"/>
      <c r="D114" s="2"/>
      <c r="E114" s="2"/>
      <c r="F114" s="2"/>
      <c r="G114" s="36"/>
      <c r="H114" s="36"/>
      <c r="I114" s="36"/>
      <c r="J114" s="36"/>
    </row>
    <row r="115" spans="2:10" x14ac:dyDescent="0.25">
      <c r="B115" s="14" t="s">
        <v>24</v>
      </c>
      <c r="C115" s="2"/>
      <c r="D115" s="2"/>
      <c r="E115" s="2"/>
      <c r="F115" s="2"/>
      <c r="G115" s="2"/>
      <c r="H115" s="2"/>
      <c r="I115" s="2"/>
      <c r="J115" s="2"/>
    </row>
    <row r="116" spans="2:10" x14ac:dyDescent="0.25">
      <c r="B116" s="8" t="s">
        <v>25</v>
      </c>
      <c r="C116" s="2"/>
      <c r="D116" s="2"/>
      <c r="E116" s="2"/>
      <c r="F116" s="2"/>
      <c r="G116" s="2"/>
      <c r="H116" s="2"/>
      <c r="I116" s="2"/>
      <c r="J116" s="2"/>
    </row>
    <row r="117" spans="2:10" x14ac:dyDescent="0.25">
      <c r="B117" s="14" t="s">
        <v>26</v>
      </c>
      <c r="C117" s="39">
        <v>1072</v>
      </c>
      <c r="D117" s="39">
        <v>910</v>
      </c>
      <c r="E117" s="39">
        <v>797</v>
      </c>
      <c r="F117" s="39">
        <v>725</v>
      </c>
      <c r="G117" s="38">
        <v>747</v>
      </c>
      <c r="H117" s="38">
        <v>706</v>
      </c>
      <c r="I117" s="38">
        <v>620</v>
      </c>
      <c r="J117" s="38">
        <v>616</v>
      </c>
    </row>
    <row r="118" spans="2:10" x14ac:dyDescent="0.25">
      <c r="B118" s="14" t="s">
        <v>27</v>
      </c>
      <c r="C118" s="39">
        <v>4637</v>
      </c>
      <c r="D118" s="39">
        <v>4497</v>
      </c>
      <c r="E118" s="39">
        <v>4368</v>
      </c>
      <c r="F118" s="39">
        <v>4097</v>
      </c>
      <c r="G118" s="39">
        <v>4199</v>
      </c>
      <c r="H118" s="39">
        <v>4292</v>
      </c>
      <c r="I118" s="39">
        <v>4181</v>
      </c>
      <c r="J118" s="39">
        <v>4215</v>
      </c>
    </row>
    <row r="119" spans="2:10" x14ac:dyDescent="0.25">
      <c r="B119" s="14" t="s">
        <v>57</v>
      </c>
      <c r="C119" s="2">
        <v>241</v>
      </c>
      <c r="D119" s="2">
        <v>235</v>
      </c>
      <c r="E119" s="2">
        <v>226</v>
      </c>
      <c r="F119" s="2">
        <v>201</v>
      </c>
      <c r="G119" s="39">
        <v>194</v>
      </c>
      <c r="H119" s="39">
        <v>195</v>
      </c>
      <c r="I119" s="39">
        <v>194</v>
      </c>
      <c r="J119" s="39">
        <v>208</v>
      </c>
    </row>
    <row r="120" spans="2:10" x14ac:dyDescent="0.25">
      <c r="B120" s="14" t="s">
        <v>29</v>
      </c>
      <c r="C120" s="2">
        <v>125</v>
      </c>
      <c r="D120" s="2">
        <v>143</v>
      </c>
      <c r="E120" s="2">
        <v>126</v>
      </c>
      <c r="F120" s="2">
        <v>129</v>
      </c>
      <c r="G120" s="39">
        <v>116</v>
      </c>
      <c r="H120" s="39">
        <v>137</v>
      </c>
      <c r="I120" s="39">
        <v>150</v>
      </c>
      <c r="J120" s="39">
        <v>170</v>
      </c>
    </row>
    <row r="121" spans="2:10" x14ac:dyDescent="0.25">
      <c r="B121" s="14" t="s">
        <v>19</v>
      </c>
      <c r="C121" s="13"/>
      <c r="D121" s="13"/>
      <c r="E121" s="13"/>
      <c r="F121" s="13"/>
      <c r="G121" s="36"/>
      <c r="H121" s="36"/>
      <c r="I121" s="36"/>
      <c r="J121" s="36"/>
    </row>
    <row r="122" spans="2:10" x14ac:dyDescent="0.25">
      <c r="B122" s="2"/>
      <c r="C122" s="2"/>
      <c r="D122" s="2"/>
      <c r="E122" s="2"/>
      <c r="F122" s="2"/>
      <c r="G122" s="38"/>
      <c r="H122" s="38"/>
      <c r="I122" s="38"/>
      <c r="J122" s="38"/>
    </row>
    <row r="123" spans="2:10" x14ac:dyDescent="0.25">
      <c r="B123" s="17" t="s">
        <v>56</v>
      </c>
      <c r="C123" s="2"/>
      <c r="D123" s="2"/>
      <c r="E123" s="2"/>
      <c r="F123" s="2"/>
      <c r="G123" s="38"/>
      <c r="H123" s="38"/>
      <c r="I123" s="38"/>
      <c r="J123" s="38"/>
    </row>
    <row r="124" spans="2:10" x14ac:dyDescent="0.25">
      <c r="B124" s="15" t="s">
        <v>58</v>
      </c>
      <c r="C124" s="36">
        <f>C109/Folkmängd!C29*100000</f>
        <v>149.87622316877119</v>
      </c>
      <c r="D124" s="36">
        <f>D109/Folkmängd!D29*100000</f>
        <v>140.24067744349125</v>
      </c>
      <c r="E124" s="36">
        <f>E109/Folkmängd!E29*100000</f>
        <v>130.32296315871483</v>
      </c>
      <c r="F124" s="36">
        <f>F109/Folkmängd!F29*100000</f>
        <v>118.65861355956021</v>
      </c>
      <c r="G124" s="36">
        <f>G109/Folkmängd!G29*100000</f>
        <v>117.75818100707023</v>
      </c>
      <c r="H124" s="36">
        <f>H109/Folkmängd!H29*100000</f>
        <v>119.43102649218723</v>
      </c>
      <c r="I124" s="36">
        <f>I109/Folkmängd!I29*100000</f>
        <v>124.94296959888881</v>
      </c>
      <c r="J124" s="36">
        <f>J109/Folkmängd!J29*100000</f>
        <v>139.61092148664906</v>
      </c>
    </row>
    <row r="125" spans="2:10" x14ac:dyDescent="0.25">
      <c r="B125" s="15" t="s">
        <v>31</v>
      </c>
      <c r="C125" s="36">
        <f>C109/Folkmängd!C30*100000</f>
        <v>124.01312971570236</v>
      </c>
      <c r="D125" s="36">
        <f>D109/Folkmängd!D30*100000</f>
        <v>115.79515089660286</v>
      </c>
      <c r="E125" s="36">
        <f>E109/Folkmängd!E30*100000</f>
        <v>107.3620383800028</v>
      </c>
      <c r="F125" s="36">
        <f>F109/Folkmängd!F30*100000</f>
        <v>97.61624277364119</v>
      </c>
      <c r="G125" s="36">
        <f>G109/Folkmängd!G30*100000</f>
        <v>96.811543486261485</v>
      </c>
      <c r="H125" s="36">
        <f>H109/Folkmängd!H30*100000</f>
        <v>98.212661251333671</v>
      </c>
      <c r="I125" s="36">
        <f>I109/Folkmängd!I30*100000</f>
        <v>102.82008556457833</v>
      </c>
      <c r="J125" s="36">
        <f>J109/Folkmängd!J30*100000</f>
        <v>115.04616293062425</v>
      </c>
    </row>
    <row r="126" spans="2:10" x14ac:dyDescent="0.25">
      <c r="B126" s="10"/>
      <c r="C126" s="22"/>
      <c r="D126" s="22"/>
      <c r="E126" s="22"/>
      <c r="F126" s="22"/>
      <c r="G126" s="22"/>
      <c r="H126" s="22"/>
    </row>
    <row r="127" spans="2:10" x14ac:dyDescent="0.25">
      <c r="B127" s="89" t="s">
        <v>242</v>
      </c>
      <c r="C127" s="22"/>
      <c r="D127" s="22"/>
      <c r="E127" s="22"/>
      <c r="F127" s="22"/>
      <c r="G127" s="22"/>
      <c r="H127" s="22"/>
    </row>
    <row r="128" spans="2:10" x14ac:dyDescent="0.25">
      <c r="B128" s="89" t="s">
        <v>243</v>
      </c>
      <c r="C128" s="22"/>
      <c r="D128" s="22"/>
      <c r="E128" s="22"/>
      <c r="F128" s="22"/>
      <c r="G128" s="22"/>
      <c r="H128" s="22"/>
    </row>
    <row r="129" spans="2:2" x14ac:dyDescent="0.25">
      <c r="B129" s="9"/>
    </row>
    <row r="130" spans="2:2" x14ac:dyDescent="0.25">
      <c r="B130" s="9"/>
    </row>
    <row r="131" spans="2:2" x14ac:dyDescent="0.25">
      <c r="B131" s="10"/>
    </row>
    <row r="132" spans="2:2" x14ac:dyDescent="0.25">
      <c r="B132" s="6"/>
    </row>
    <row r="133" spans="2:2" x14ac:dyDescent="0.25">
      <c r="B133" s="6"/>
    </row>
  </sheetData>
  <pageMargins left="0.7" right="0.7" top="0.75" bottom="0.75" header="0.3" footer="0.3"/>
  <pageSetup paperSize="9" orientation="portrait" r:id="rId1"/>
  <ignoredErrors>
    <ignoredError sqref="C95:G9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33"/>
  <sheetViews>
    <sheetView zoomScaleNormal="100" workbookViewId="0">
      <pane ySplit="2" topLeftCell="A12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311</v>
      </c>
    </row>
    <row r="3" spans="2:10" ht="18.75" x14ac:dyDescent="0.3">
      <c r="B3" s="4"/>
    </row>
    <row r="4" spans="2:10" ht="18.75" x14ac:dyDescent="0.3">
      <c r="B4" s="18" t="s">
        <v>113</v>
      </c>
      <c r="C4" s="19">
        <v>2014</v>
      </c>
      <c r="D4" s="19">
        <v>2015</v>
      </c>
      <c r="E4" s="19">
        <v>2016</v>
      </c>
      <c r="F4" s="19">
        <v>2017</v>
      </c>
      <c r="G4" s="19">
        <v>2018</v>
      </c>
      <c r="H4" s="19">
        <v>2019</v>
      </c>
      <c r="I4" s="19">
        <v>2020</v>
      </c>
      <c r="J4" s="19">
        <v>2021</v>
      </c>
    </row>
    <row r="5" spans="2:10" x14ac:dyDescent="0.25">
      <c r="B5" s="41" t="s">
        <v>312</v>
      </c>
      <c r="C5" s="12">
        <v>2192</v>
      </c>
      <c r="D5" s="12">
        <v>2041</v>
      </c>
      <c r="E5" s="12">
        <v>2206</v>
      </c>
      <c r="F5" s="12">
        <v>2143</v>
      </c>
      <c r="G5" s="12">
        <f>2234+20</f>
        <v>2254</v>
      </c>
      <c r="H5" s="12">
        <v>2424</v>
      </c>
      <c r="I5" s="12">
        <v>2503</v>
      </c>
      <c r="J5" s="12">
        <v>2655</v>
      </c>
    </row>
    <row r="6" spans="2:10" x14ac:dyDescent="0.25">
      <c r="B6" s="2" t="s">
        <v>55</v>
      </c>
      <c r="C6" s="2"/>
      <c r="D6" s="2"/>
      <c r="E6" s="2"/>
      <c r="F6" s="2"/>
      <c r="G6" s="21"/>
      <c r="H6" s="21"/>
      <c r="I6" s="21"/>
      <c r="J6" s="21"/>
    </row>
    <row r="7" spans="2:10" x14ac:dyDescent="0.25">
      <c r="B7" s="41" t="s">
        <v>59</v>
      </c>
      <c r="C7" s="2"/>
      <c r="D7" s="2"/>
      <c r="E7" s="2"/>
      <c r="F7" s="2"/>
      <c r="G7" s="21"/>
      <c r="H7" s="21"/>
      <c r="I7" s="21"/>
      <c r="J7" s="21"/>
    </row>
    <row r="8" spans="2:10" x14ac:dyDescent="0.25">
      <c r="B8" s="14" t="s">
        <v>62</v>
      </c>
      <c r="C8" s="105">
        <v>75</v>
      </c>
      <c r="D8" s="105">
        <v>57</v>
      </c>
      <c r="E8" s="105">
        <v>91</v>
      </c>
      <c r="F8" s="105">
        <v>68</v>
      </c>
      <c r="G8" s="21">
        <v>63</v>
      </c>
      <c r="H8" s="21">
        <v>82</v>
      </c>
      <c r="I8" s="21">
        <v>107</v>
      </c>
      <c r="J8" s="21">
        <v>110</v>
      </c>
    </row>
    <row r="9" spans="2:10" x14ac:dyDescent="0.25">
      <c r="B9" s="15" t="s">
        <v>45</v>
      </c>
      <c r="C9" s="36">
        <f t="shared" ref="C9:E9" si="0">C8/C5*100</f>
        <v>3.4215328467153285</v>
      </c>
      <c r="D9" s="36">
        <f t="shared" si="0"/>
        <v>2.7927486526212641</v>
      </c>
      <c r="E9" s="36">
        <f t="shared" si="0"/>
        <v>4.1251133272892115</v>
      </c>
      <c r="F9" s="36">
        <f>F8/F5*100</f>
        <v>3.1731217918805412</v>
      </c>
      <c r="G9" s="36">
        <f>G8/G5*100</f>
        <v>2.7950310559006213</v>
      </c>
      <c r="H9" s="36">
        <f>H8/H5*100</f>
        <v>3.382838283828383</v>
      </c>
      <c r="I9" s="36">
        <v>4.2748701558130247</v>
      </c>
      <c r="J9" s="36">
        <v>4.1431261770244827</v>
      </c>
    </row>
    <row r="10" spans="2:10" x14ac:dyDescent="0.25">
      <c r="B10" s="41" t="s">
        <v>60</v>
      </c>
      <c r="C10" s="2"/>
      <c r="D10" s="2"/>
      <c r="E10" s="2"/>
      <c r="F10" s="2"/>
      <c r="G10" s="21"/>
      <c r="H10" s="21"/>
      <c r="I10" s="21"/>
      <c r="J10" s="21"/>
    </row>
    <row r="11" spans="2:10" x14ac:dyDescent="0.25">
      <c r="B11" s="14" t="s">
        <v>62</v>
      </c>
      <c r="C11" s="2">
        <v>402</v>
      </c>
      <c r="D11" s="2">
        <v>380</v>
      </c>
      <c r="E11" s="2">
        <f>954-529</f>
        <v>425</v>
      </c>
      <c r="F11" s="2">
        <v>441</v>
      </c>
      <c r="G11" s="21">
        <v>449</v>
      </c>
      <c r="H11" s="21">
        <v>472</v>
      </c>
      <c r="I11" s="21">
        <v>550</v>
      </c>
      <c r="J11" s="21">
        <v>489</v>
      </c>
    </row>
    <row r="12" spans="2:10" x14ac:dyDescent="0.25">
      <c r="B12" s="15" t="s">
        <v>45</v>
      </c>
      <c r="C12" s="36">
        <f t="shared" ref="C12:E12" si="1">C11/C5*100</f>
        <v>18.339416058394161</v>
      </c>
      <c r="D12" s="36">
        <f t="shared" si="1"/>
        <v>18.618324350808425</v>
      </c>
      <c r="E12" s="36">
        <f t="shared" si="1"/>
        <v>19.265639165911153</v>
      </c>
      <c r="F12" s="36">
        <f>F11/F5*100</f>
        <v>20.578628091460569</v>
      </c>
      <c r="G12" s="36">
        <f>G11/G5*100</f>
        <v>19.920141969831413</v>
      </c>
      <c r="H12" s="36">
        <f>H11/H5*100</f>
        <v>19.471947194719473</v>
      </c>
      <c r="I12" s="36">
        <v>21.973631642029563</v>
      </c>
      <c r="J12" s="36">
        <v>18.418079096045197</v>
      </c>
    </row>
    <row r="13" spans="2:10" x14ac:dyDescent="0.25">
      <c r="B13" s="41" t="s">
        <v>63</v>
      </c>
      <c r="C13" s="2">
        <v>13</v>
      </c>
      <c r="D13" s="2">
        <v>15</v>
      </c>
      <c r="E13" s="2">
        <v>18</v>
      </c>
      <c r="F13" s="2">
        <v>11</v>
      </c>
      <c r="G13" s="2">
        <v>14</v>
      </c>
      <c r="H13" s="2">
        <v>11</v>
      </c>
      <c r="I13" s="2">
        <v>17</v>
      </c>
      <c r="J13" s="2">
        <v>21</v>
      </c>
    </row>
    <row r="14" spans="2:10" x14ac:dyDescent="0.25">
      <c r="B14" s="15" t="s">
        <v>64</v>
      </c>
      <c r="C14" s="36">
        <f t="shared" ref="C14:H14" si="2">C13/C5*100</f>
        <v>0.59306569343065685</v>
      </c>
      <c r="D14" s="36">
        <f t="shared" si="2"/>
        <v>0.73493385595296423</v>
      </c>
      <c r="E14" s="36">
        <f t="shared" si="2"/>
        <v>0.81595648232094287</v>
      </c>
      <c r="F14" s="36">
        <f t="shared" si="2"/>
        <v>0.5132991133924405</v>
      </c>
      <c r="G14" s="36">
        <f t="shared" si="2"/>
        <v>0.6211180124223602</v>
      </c>
      <c r="H14" s="36">
        <f t="shared" si="2"/>
        <v>0.45379537953795385</v>
      </c>
      <c r="I14" s="36">
        <v>0.67918497802636835</v>
      </c>
      <c r="J14" s="36">
        <v>0.79096045197740106</v>
      </c>
    </row>
    <row r="15" spans="2:10" x14ac:dyDescent="0.25">
      <c r="B15" s="41" t="s">
        <v>65</v>
      </c>
      <c r="C15" s="2"/>
      <c r="D15" s="2"/>
      <c r="E15" s="2"/>
      <c r="F15" s="2"/>
      <c r="G15" s="2"/>
      <c r="H15" s="2"/>
      <c r="I15" s="2"/>
      <c r="J15" s="2"/>
    </row>
    <row r="16" spans="2:10" x14ac:dyDescent="0.25">
      <c r="B16" s="14" t="s">
        <v>62</v>
      </c>
      <c r="C16" s="104">
        <v>7</v>
      </c>
      <c r="D16" s="104">
        <v>6</v>
      </c>
      <c r="E16" s="104">
        <v>9</v>
      </c>
      <c r="F16" s="104">
        <v>6</v>
      </c>
      <c r="G16" s="2">
        <v>7</v>
      </c>
      <c r="H16" s="2">
        <v>8</v>
      </c>
      <c r="I16" s="2">
        <v>5</v>
      </c>
      <c r="J16" s="2">
        <v>8</v>
      </c>
    </row>
    <row r="17" spans="2:11" x14ac:dyDescent="0.25">
      <c r="B17" s="15" t="s">
        <v>45</v>
      </c>
      <c r="C17" s="36">
        <f t="shared" ref="C17:G17" si="3">C16/C5*100</f>
        <v>0.31934306569343068</v>
      </c>
      <c r="D17" s="36">
        <f t="shared" si="3"/>
        <v>0.29397354238118567</v>
      </c>
      <c r="E17" s="36">
        <f t="shared" si="3"/>
        <v>0.40797824116047143</v>
      </c>
      <c r="F17" s="36">
        <f t="shared" si="3"/>
        <v>0.27998133457769481</v>
      </c>
      <c r="G17" s="36">
        <f t="shared" si="3"/>
        <v>0.3105590062111801</v>
      </c>
      <c r="H17" s="36">
        <f t="shared" ref="H17" si="4">H16/H5*100</f>
        <v>0.33003300330033003</v>
      </c>
      <c r="I17" s="36">
        <v>0.19976028765481421</v>
      </c>
      <c r="J17" s="36">
        <v>0.30131826741996232</v>
      </c>
    </row>
    <row r="18" spans="2:11" x14ac:dyDescent="0.25">
      <c r="B18" s="41" t="s">
        <v>61</v>
      </c>
      <c r="C18" s="2"/>
      <c r="D18" s="2"/>
      <c r="E18" s="2"/>
      <c r="F18" s="2"/>
      <c r="G18" s="2"/>
      <c r="H18" s="2"/>
      <c r="I18" s="2"/>
      <c r="J18" s="2"/>
    </row>
    <row r="19" spans="2:11" x14ac:dyDescent="0.25">
      <c r="B19" s="14" t="s">
        <v>62</v>
      </c>
      <c r="C19" s="105">
        <v>22</v>
      </c>
      <c r="D19" s="105">
        <v>21</v>
      </c>
      <c r="E19" s="105">
        <v>21</v>
      </c>
      <c r="F19" s="105">
        <v>24</v>
      </c>
      <c r="G19" s="2">
        <v>24</v>
      </c>
      <c r="H19" s="2">
        <v>27</v>
      </c>
      <c r="I19" s="2">
        <v>29</v>
      </c>
      <c r="J19" s="2">
        <v>35</v>
      </c>
    </row>
    <row r="20" spans="2:11" x14ac:dyDescent="0.25">
      <c r="B20" s="15" t="s">
        <v>45</v>
      </c>
      <c r="C20" s="36">
        <f t="shared" ref="C20:G20" si="5">C19/C5*100</f>
        <v>1.0036496350364963</v>
      </c>
      <c r="D20" s="36">
        <f t="shared" si="5"/>
        <v>1.0289073983341499</v>
      </c>
      <c r="E20" s="36">
        <f t="shared" si="5"/>
        <v>0.95194922937443338</v>
      </c>
      <c r="F20" s="36">
        <f t="shared" si="5"/>
        <v>1.1199253383107792</v>
      </c>
      <c r="G20" s="36">
        <f t="shared" si="5"/>
        <v>1.064773735581189</v>
      </c>
      <c r="H20" s="36">
        <f t="shared" ref="H20" si="6">H19/H5*100</f>
        <v>1.1138613861386137</v>
      </c>
      <c r="I20" s="36">
        <v>1.1586096683979226</v>
      </c>
      <c r="J20" s="36">
        <v>1.3182674199623352</v>
      </c>
    </row>
    <row r="21" spans="2:11" x14ac:dyDescent="0.25">
      <c r="B21" s="15"/>
    </row>
    <row r="22" spans="2:11" x14ac:dyDescent="0.25">
      <c r="B22" s="89" t="s">
        <v>280</v>
      </c>
    </row>
    <row r="23" spans="2:11" x14ac:dyDescent="0.25">
      <c r="B23" s="9"/>
    </row>
    <row r="24" spans="2:11" x14ac:dyDescent="0.25">
      <c r="B24" s="9"/>
    </row>
    <row r="25" spans="2:11" x14ac:dyDescent="0.25">
      <c r="B25" s="9"/>
    </row>
    <row r="26" spans="2:11" x14ac:dyDescent="0.25">
      <c r="B26" s="9"/>
    </row>
    <row r="27" spans="2:11" x14ac:dyDescent="0.25">
      <c r="B27" s="10"/>
    </row>
    <row r="28" spans="2:11" x14ac:dyDescent="0.25">
      <c r="B28" s="6"/>
    </row>
    <row r="29" spans="2:11" x14ac:dyDescent="0.25">
      <c r="B29" s="6"/>
    </row>
    <row r="30" spans="2:11" ht="18.75" x14ac:dyDescent="0.3">
      <c r="B30" s="18" t="s">
        <v>114</v>
      </c>
      <c r="C30" s="19">
        <v>2014</v>
      </c>
      <c r="D30" s="19">
        <v>2015</v>
      </c>
      <c r="E30" s="19">
        <v>2016</v>
      </c>
      <c r="F30" s="19">
        <v>2017</v>
      </c>
      <c r="G30" s="19">
        <v>2018</v>
      </c>
      <c r="H30" s="19">
        <v>2019</v>
      </c>
      <c r="I30" s="19">
        <v>2020</v>
      </c>
      <c r="J30" s="19">
        <v>2021</v>
      </c>
    </row>
    <row r="31" spans="2:11" x14ac:dyDescent="0.25">
      <c r="B31" s="41" t="s">
        <v>312</v>
      </c>
      <c r="C31" s="39">
        <v>2241</v>
      </c>
      <c r="D31" s="39">
        <v>2142</v>
      </c>
      <c r="E31" s="39">
        <v>2301</v>
      </c>
      <c r="F31" s="39">
        <v>2143</v>
      </c>
      <c r="G31" s="39">
        <v>2034</v>
      </c>
      <c r="H31" s="39">
        <v>2036</v>
      </c>
      <c r="I31" s="39">
        <v>1773</v>
      </c>
      <c r="J31" s="39">
        <v>2091</v>
      </c>
      <c r="K31" s="133"/>
    </row>
    <row r="32" spans="2:11" x14ac:dyDescent="0.25">
      <c r="B32" s="2" t="s">
        <v>55</v>
      </c>
      <c r="C32" s="42"/>
      <c r="D32" s="42"/>
      <c r="E32" s="42"/>
      <c r="F32" s="42"/>
      <c r="G32" s="2"/>
      <c r="H32" s="2"/>
      <c r="I32" s="2"/>
      <c r="J32" s="2"/>
    </row>
    <row r="33" spans="2:10" x14ac:dyDescent="0.25">
      <c r="B33" s="41" t="s">
        <v>59</v>
      </c>
      <c r="C33" s="42"/>
      <c r="D33" s="42"/>
      <c r="E33" s="42"/>
      <c r="F33" s="42"/>
      <c r="G33" s="2"/>
      <c r="H33" s="2"/>
      <c r="I33" s="2"/>
      <c r="J33" s="2"/>
    </row>
    <row r="34" spans="2:10" x14ac:dyDescent="0.25">
      <c r="B34" s="14" t="s">
        <v>62</v>
      </c>
      <c r="C34" s="42">
        <v>161</v>
      </c>
      <c r="D34" s="42">
        <v>143</v>
      </c>
      <c r="E34" s="42">
        <v>157</v>
      </c>
      <c r="F34" s="42">
        <v>160</v>
      </c>
      <c r="G34" s="2">
        <v>144</v>
      </c>
      <c r="H34" s="2">
        <v>143</v>
      </c>
      <c r="I34" s="2">
        <v>129</v>
      </c>
      <c r="J34" s="2">
        <v>162</v>
      </c>
    </row>
    <row r="35" spans="2:10" x14ac:dyDescent="0.25">
      <c r="B35" s="15" t="s">
        <v>45</v>
      </c>
      <c r="C35" s="36">
        <f t="shared" ref="C35:H35" si="7">C34/C31*100</f>
        <v>7.1842927264614014</v>
      </c>
      <c r="D35" s="36">
        <f t="shared" si="7"/>
        <v>6.6760037348272645</v>
      </c>
      <c r="E35" s="36">
        <f t="shared" si="7"/>
        <v>6.8231203824424158</v>
      </c>
      <c r="F35" s="36">
        <f t="shared" si="7"/>
        <v>7.4661689220718612</v>
      </c>
      <c r="G35" s="36">
        <f t="shared" si="7"/>
        <v>7.0796460176991154</v>
      </c>
      <c r="H35" s="36">
        <f t="shared" si="7"/>
        <v>7.0235756385068768</v>
      </c>
      <c r="I35" s="36">
        <f t="shared" ref="I35:J35" si="8">I34/I31*100</f>
        <v>7.2758037225042305</v>
      </c>
      <c r="J35" s="36">
        <f t="shared" si="8"/>
        <v>7.747489239598278</v>
      </c>
    </row>
    <row r="36" spans="2:10" x14ac:dyDescent="0.25">
      <c r="B36" s="41" t="s">
        <v>60</v>
      </c>
      <c r="C36" s="42"/>
      <c r="D36" s="42"/>
      <c r="E36" s="42"/>
      <c r="F36" s="42"/>
      <c r="G36" s="2"/>
      <c r="H36" s="2"/>
      <c r="I36" s="2"/>
      <c r="J36" s="2"/>
    </row>
    <row r="37" spans="2:10" x14ac:dyDescent="0.25">
      <c r="B37" s="14" t="s">
        <v>62</v>
      </c>
      <c r="C37" s="42">
        <v>260</v>
      </c>
      <c r="D37" s="42">
        <v>245</v>
      </c>
      <c r="E37" s="42">
        <v>311</v>
      </c>
      <c r="F37" s="42">
        <v>327</v>
      </c>
      <c r="G37" s="2">
        <v>261</v>
      </c>
      <c r="H37" s="2">
        <v>284</v>
      </c>
      <c r="I37" s="2">
        <v>264</v>
      </c>
      <c r="J37" s="2">
        <v>287</v>
      </c>
    </row>
    <row r="38" spans="2:10" x14ac:dyDescent="0.25">
      <c r="B38" s="15" t="s">
        <v>45</v>
      </c>
      <c r="C38" s="36">
        <f t="shared" ref="C38:H38" si="9">C37/C31*100</f>
        <v>11.601963409192324</v>
      </c>
      <c r="D38" s="36">
        <f t="shared" si="9"/>
        <v>11.437908496732026</v>
      </c>
      <c r="E38" s="36">
        <f t="shared" si="9"/>
        <v>13.51586266840504</v>
      </c>
      <c r="F38" s="36">
        <f t="shared" si="9"/>
        <v>15.258982734484366</v>
      </c>
      <c r="G38" s="36">
        <f t="shared" si="9"/>
        <v>12.831858407079647</v>
      </c>
      <c r="H38" s="36">
        <f t="shared" si="9"/>
        <v>13.948919449901767</v>
      </c>
      <c r="I38" s="36">
        <f t="shared" ref="I38:J38" si="10">I37/I31*100</f>
        <v>14.890016920473773</v>
      </c>
      <c r="J38" s="36">
        <f t="shared" si="10"/>
        <v>13.725490196078432</v>
      </c>
    </row>
    <row r="39" spans="2:10" x14ac:dyDescent="0.25">
      <c r="B39" s="41" t="s">
        <v>63</v>
      </c>
      <c r="C39" s="42">
        <v>9</v>
      </c>
      <c r="D39" s="42">
        <v>6</v>
      </c>
      <c r="E39" s="42">
        <v>17</v>
      </c>
      <c r="F39" s="42">
        <v>15</v>
      </c>
      <c r="G39" s="2">
        <v>12</v>
      </c>
      <c r="H39" s="2">
        <v>13</v>
      </c>
      <c r="I39" s="2">
        <v>16</v>
      </c>
      <c r="J39" s="2">
        <v>25</v>
      </c>
    </row>
    <row r="40" spans="2:10" x14ac:dyDescent="0.25">
      <c r="B40" s="15" t="s">
        <v>64</v>
      </c>
      <c r="C40" s="36">
        <f t="shared" ref="C40:H40" si="11">C39/C31*100</f>
        <v>0.40160642570281119</v>
      </c>
      <c r="D40" s="36">
        <f t="shared" si="11"/>
        <v>0.28011204481792717</v>
      </c>
      <c r="E40" s="36">
        <f t="shared" si="11"/>
        <v>0.73880921338548455</v>
      </c>
      <c r="F40" s="36">
        <f t="shared" si="11"/>
        <v>0.69995333644423707</v>
      </c>
      <c r="G40" s="36">
        <f t="shared" si="11"/>
        <v>0.58997050147492625</v>
      </c>
      <c r="H40" s="36">
        <f t="shared" si="11"/>
        <v>0.63850687622789781</v>
      </c>
      <c r="I40" s="36">
        <f t="shared" ref="I40:J40" si="12">I39/I31*100</f>
        <v>0.90242526790750155</v>
      </c>
      <c r="J40" s="36">
        <f t="shared" si="12"/>
        <v>1.1956001912960306</v>
      </c>
    </row>
    <row r="41" spans="2:10" x14ac:dyDescent="0.25">
      <c r="B41" s="41" t="s">
        <v>65</v>
      </c>
      <c r="C41" s="42"/>
      <c r="D41" s="42"/>
      <c r="E41" s="42"/>
      <c r="F41" s="42"/>
      <c r="G41" s="2"/>
      <c r="H41" s="2"/>
      <c r="I41" s="2"/>
      <c r="J41" s="2"/>
    </row>
    <row r="42" spans="2:10" x14ac:dyDescent="0.25">
      <c r="B42" s="14" t="s">
        <v>62</v>
      </c>
      <c r="C42" s="42">
        <v>1</v>
      </c>
      <c r="D42" s="42">
        <v>1</v>
      </c>
      <c r="E42" s="42">
        <v>3</v>
      </c>
      <c r="F42" s="42">
        <v>4</v>
      </c>
      <c r="G42" s="2">
        <v>2</v>
      </c>
      <c r="H42" s="2">
        <v>2</v>
      </c>
      <c r="I42" s="2">
        <v>1</v>
      </c>
      <c r="J42" s="2">
        <v>5</v>
      </c>
    </row>
    <row r="43" spans="2:10" x14ac:dyDescent="0.25">
      <c r="B43" s="15" t="s">
        <v>45</v>
      </c>
      <c r="C43" s="36">
        <f t="shared" ref="C43:H43" si="13">C42/C31*100</f>
        <v>4.4622936189201247E-2</v>
      </c>
      <c r="D43" s="36">
        <f t="shared" si="13"/>
        <v>4.6685340802987862E-2</v>
      </c>
      <c r="E43" s="36">
        <f t="shared" si="13"/>
        <v>0.1303780964797914</v>
      </c>
      <c r="F43" s="36">
        <f t="shared" si="13"/>
        <v>0.18665422305179655</v>
      </c>
      <c r="G43" s="36">
        <f t="shared" si="13"/>
        <v>9.8328416912487712E-2</v>
      </c>
      <c r="H43" s="36">
        <f t="shared" si="13"/>
        <v>9.8231827111984277E-2</v>
      </c>
      <c r="I43" s="36">
        <f t="shared" ref="I43:J43" si="14">I42/I31*100</f>
        <v>5.6401579244218847E-2</v>
      </c>
      <c r="J43" s="36">
        <f t="shared" si="14"/>
        <v>0.23912003825920614</v>
      </c>
    </row>
    <row r="44" spans="2:10" x14ac:dyDescent="0.25">
      <c r="B44" s="41" t="s">
        <v>61</v>
      </c>
      <c r="C44" s="42"/>
      <c r="D44" s="42"/>
      <c r="E44" s="42"/>
      <c r="F44" s="42"/>
      <c r="G44" s="2"/>
      <c r="H44" s="2"/>
      <c r="I44" s="2"/>
      <c r="J44" s="2"/>
    </row>
    <row r="45" spans="2:10" x14ac:dyDescent="0.25">
      <c r="B45" s="14" t="s">
        <v>62</v>
      </c>
      <c r="C45" s="42">
        <v>202</v>
      </c>
      <c r="D45" s="42">
        <v>197</v>
      </c>
      <c r="E45" s="42">
        <v>197</v>
      </c>
      <c r="F45" s="42">
        <v>190</v>
      </c>
      <c r="G45" s="2">
        <v>184</v>
      </c>
      <c r="H45" s="2">
        <v>178</v>
      </c>
      <c r="I45" s="2">
        <v>169</v>
      </c>
      <c r="J45" s="2">
        <v>180</v>
      </c>
    </row>
    <row r="46" spans="2:10" x14ac:dyDescent="0.25">
      <c r="B46" s="15" t="s">
        <v>45</v>
      </c>
      <c r="C46" s="36">
        <f t="shared" ref="C46:H46" si="15">C45/C31*100</f>
        <v>9.013833110218652</v>
      </c>
      <c r="D46" s="36">
        <f t="shared" si="15"/>
        <v>9.1970121381886099</v>
      </c>
      <c r="E46" s="36">
        <f t="shared" si="15"/>
        <v>8.5614950021729683</v>
      </c>
      <c r="F46" s="36">
        <f t="shared" si="15"/>
        <v>8.8660755949603356</v>
      </c>
      <c r="G46" s="36">
        <f t="shared" si="15"/>
        <v>9.0462143559488695</v>
      </c>
      <c r="H46" s="36">
        <f t="shared" si="15"/>
        <v>8.7426326129666005</v>
      </c>
      <c r="I46" s="36">
        <f t="shared" ref="I46:J46" si="16">I45/I31*100</f>
        <v>9.5318668922729834</v>
      </c>
      <c r="J46" s="36">
        <f t="shared" si="16"/>
        <v>8.6083213773314213</v>
      </c>
    </row>
    <row r="47" spans="2:10" x14ac:dyDescent="0.25">
      <c r="B47" s="15"/>
    </row>
    <row r="48" spans="2:10" x14ac:dyDescent="0.25">
      <c r="B48" s="89" t="s">
        <v>318</v>
      </c>
    </row>
    <row r="49" spans="2:12" x14ac:dyDescent="0.25">
      <c r="B49" s="9"/>
    </row>
    <row r="50" spans="2:12" x14ac:dyDescent="0.25">
      <c r="B50" s="9"/>
    </row>
    <row r="51" spans="2:12" x14ac:dyDescent="0.25">
      <c r="B51" s="9"/>
    </row>
    <row r="52" spans="2:12" x14ac:dyDescent="0.25">
      <c r="B52" s="9"/>
    </row>
    <row r="53" spans="2:12" x14ac:dyDescent="0.25">
      <c r="B53" s="10"/>
    </row>
    <row r="54" spans="2:12" x14ac:dyDescent="0.25">
      <c r="B54" s="6"/>
    </row>
    <row r="55" spans="2:12" x14ac:dyDescent="0.25">
      <c r="B55" s="6"/>
    </row>
    <row r="56" spans="2:12" ht="18.75" x14ac:dyDescent="0.3">
      <c r="B56" s="18" t="s">
        <v>115</v>
      </c>
      <c r="C56" s="19">
        <v>2014</v>
      </c>
      <c r="D56" s="19">
        <v>2015</v>
      </c>
      <c r="E56" s="19">
        <v>2016</v>
      </c>
      <c r="F56" s="19">
        <v>2017</v>
      </c>
      <c r="G56" s="19">
        <v>2018</v>
      </c>
      <c r="H56" s="19">
        <v>2019</v>
      </c>
      <c r="I56" s="19">
        <v>2020</v>
      </c>
      <c r="J56" s="19">
        <v>2021</v>
      </c>
    </row>
    <row r="57" spans="2:12" x14ac:dyDescent="0.25">
      <c r="B57" s="41" t="s">
        <v>312</v>
      </c>
      <c r="C57" s="100">
        <v>169</v>
      </c>
      <c r="D57" s="100">
        <v>149</v>
      </c>
      <c r="E57" s="100">
        <v>123</v>
      </c>
      <c r="F57" s="100">
        <v>132</v>
      </c>
      <c r="G57" s="2">
        <v>130</v>
      </c>
      <c r="H57" s="2">
        <v>147</v>
      </c>
      <c r="I57" s="2">
        <v>109</v>
      </c>
      <c r="J57" s="2">
        <v>143</v>
      </c>
      <c r="L57" s="175"/>
    </row>
    <row r="58" spans="2:12" x14ac:dyDescent="0.25">
      <c r="B58" s="2" t="s">
        <v>55</v>
      </c>
      <c r="C58" s="100"/>
      <c r="D58" s="100"/>
      <c r="E58" s="100"/>
      <c r="F58" s="100"/>
      <c r="G58" s="2"/>
      <c r="H58" s="2"/>
      <c r="I58" s="2"/>
      <c r="J58" s="2"/>
    </row>
    <row r="59" spans="2:12" x14ac:dyDescent="0.25">
      <c r="B59" s="41" t="s">
        <v>59</v>
      </c>
      <c r="C59" s="100"/>
      <c r="D59" s="100"/>
      <c r="E59" s="100"/>
      <c r="F59" s="100"/>
      <c r="G59" s="2"/>
      <c r="H59" s="2"/>
      <c r="I59" s="2"/>
      <c r="J59" s="2"/>
    </row>
    <row r="60" spans="2:12" x14ac:dyDescent="0.25">
      <c r="B60" s="14" t="s">
        <v>62</v>
      </c>
      <c r="C60" s="100">
        <v>9</v>
      </c>
      <c r="D60" s="100">
        <v>2</v>
      </c>
      <c r="E60" s="100">
        <v>6</v>
      </c>
      <c r="F60" s="100">
        <v>9</v>
      </c>
      <c r="G60" s="2">
        <v>5</v>
      </c>
      <c r="H60" s="2">
        <v>11</v>
      </c>
      <c r="I60" s="2">
        <v>7</v>
      </c>
      <c r="J60" s="2">
        <v>10</v>
      </c>
    </row>
    <row r="61" spans="2:12" x14ac:dyDescent="0.25">
      <c r="B61" s="15" t="s">
        <v>45</v>
      </c>
      <c r="C61" s="112">
        <f t="shared" ref="C61:H61" si="17">C60/C57*100</f>
        <v>5.3254437869822491</v>
      </c>
      <c r="D61" s="112">
        <f t="shared" si="17"/>
        <v>1.3422818791946309</v>
      </c>
      <c r="E61" s="112">
        <f t="shared" si="17"/>
        <v>4.8780487804878048</v>
      </c>
      <c r="F61" s="112">
        <f t="shared" si="17"/>
        <v>6.8181818181818175</v>
      </c>
      <c r="G61" s="112">
        <f t="shared" si="17"/>
        <v>3.8461538461538463</v>
      </c>
      <c r="H61" s="112">
        <f t="shared" si="17"/>
        <v>7.4829931972789119</v>
      </c>
      <c r="I61" s="112">
        <f t="shared" ref="I61:J61" si="18">I60/I57*100</f>
        <v>6.4220183486238538</v>
      </c>
      <c r="J61" s="112">
        <f t="shared" si="18"/>
        <v>6.9930069930069934</v>
      </c>
    </row>
    <row r="62" spans="2:12" x14ac:dyDescent="0.25">
      <c r="B62" s="41" t="s">
        <v>60</v>
      </c>
      <c r="C62" s="100"/>
      <c r="D62" s="100"/>
      <c r="E62" s="100"/>
      <c r="F62" s="100"/>
      <c r="G62" s="2"/>
      <c r="H62" s="2"/>
      <c r="I62" s="2"/>
      <c r="J62" s="2"/>
    </row>
    <row r="63" spans="2:12" x14ac:dyDescent="0.25">
      <c r="B63" s="14" t="s">
        <v>62</v>
      </c>
      <c r="C63" s="100">
        <v>21</v>
      </c>
      <c r="D63" s="100">
        <v>20</v>
      </c>
      <c r="E63" s="100">
        <v>15</v>
      </c>
      <c r="F63" s="100">
        <v>23</v>
      </c>
      <c r="G63" s="2">
        <v>29</v>
      </c>
      <c r="H63" s="2">
        <v>28</v>
      </c>
      <c r="I63" s="2">
        <v>19</v>
      </c>
      <c r="J63" s="2">
        <v>25</v>
      </c>
    </row>
    <row r="64" spans="2:12" x14ac:dyDescent="0.25">
      <c r="B64" s="15" t="s">
        <v>45</v>
      </c>
      <c r="C64" s="112">
        <f t="shared" ref="C64:H64" si="19">C63/C57*100</f>
        <v>12.42603550295858</v>
      </c>
      <c r="D64" s="112">
        <f t="shared" si="19"/>
        <v>13.422818791946309</v>
      </c>
      <c r="E64" s="112">
        <f t="shared" si="19"/>
        <v>12.195121951219512</v>
      </c>
      <c r="F64" s="112">
        <f t="shared" si="19"/>
        <v>17.424242424242426</v>
      </c>
      <c r="G64" s="112">
        <f t="shared" si="19"/>
        <v>22.30769230769231</v>
      </c>
      <c r="H64" s="112">
        <f t="shared" si="19"/>
        <v>19.047619047619047</v>
      </c>
      <c r="I64" s="112">
        <f t="shared" ref="I64:J64" si="20">I63/I57*100</f>
        <v>17.431192660550458</v>
      </c>
      <c r="J64" s="112">
        <f t="shared" si="20"/>
        <v>17.482517482517483</v>
      </c>
    </row>
    <row r="65" spans="2:10" x14ac:dyDescent="0.25">
      <c r="B65" s="41" t="s">
        <v>63</v>
      </c>
      <c r="C65" s="100">
        <v>0</v>
      </c>
      <c r="D65" s="100">
        <v>1</v>
      </c>
      <c r="E65" s="100">
        <v>0</v>
      </c>
      <c r="F65" s="100">
        <v>0</v>
      </c>
      <c r="G65" s="2">
        <v>0</v>
      </c>
      <c r="H65" s="2">
        <v>2</v>
      </c>
      <c r="I65" s="2">
        <v>0</v>
      </c>
      <c r="J65" s="2">
        <v>0</v>
      </c>
    </row>
    <row r="66" spans="2:10" x14ac:dyDescent="0.25">
      <c r="B66" s="15" t="s">
        <v>64</v>
      </c>
      <c r="C66" s="112">
        <f t="shared" ref="C66:H66" si="21">C65/C57*100</f>
        <v>0</v>
      </c>
      <c r="D66" s="112">
        <f t="shared" si="21"/>
        <v>0.67114093959731547</v>
      </c>
      <c r="E66" s="112">
        <f t="shared" si="21"/>
        <v>0</v>
      </c>
      <c r="F66" s="112">
        <f t="shared" si="21"/>
        <v>0</v>
      </c>
      <c r="G66" s="112">
        <f t="shared" si="21"/>
        <v>0</v>
      </c>
      <c r="H66" s="112">
        <f t="shared" si="21"/>
        <v>1.3605442176870748</v>
      </c>
      <c r="I66" s="112">
        <f t="shared" ref="I66:J66" si="22">I65/I57*100</f>
        <v>0</v>
      </c>
      <c r="J66" s="112">
        <f t="shared" si="22"/>
        <v>0</v>
      </c>
    </row>
    <row r="67" spans="2:10" x14ac:dyDescent="0.25">
      <c r="B67" s="41" t="s">
        <v>65</v>
      </c>
      <c r="C67" s="100"/>
      <c r="D67" s="100"/>
      <c r="E67" s="100"/>
      <c r="F67" s="100"/>
      <c r="G67" s="2"/>
      <c r="H67" s="2"/>
      <c r="I67" s="2"/>
      <c r="J67" s="2"/>
    </row>
    <row r="68" spans="2:10" x14ac:dyDescent="0.25">
      <c r="B68" s="14" t="s">
        <v>62</v>
      </c>
      <c r="C68" s="100">
        <v>0</v>
      </c>
      <c r="D68" s="100">
        <v>0</v>
      </c>
      <c r="E68" s="100">
        <v>0</v>
      </c>
      <c r="F68" s="100">
        <v>0</v>
      </c>
      <c r="G68" s="2">
        <v>0</v>
      </c>
      <c r="H68" s="2">
        <v>0</v>
      </c>
      <c r="I68" s="2">
        <v>0</v>
      </c>
      <c r="J68" s="2">
        <v>0</v>
      </c>
    </row>
    <row r="69" spans="2:10" x14ac:dyDescent="0.25">
      <c r="B69" s="15" t="s">
        <v>45</v>
      </c>
      <c r="C69" s="112">
        <f t="shared" ref="C69:H69" si="23">C68/C57*100</f>
        <v>0</v>
      </c>
      <c r="D69" s="112">
        <f t="shared" si="23"/>
        <v>0</v>
      </c>
      <c r="E69" s="112">
        <f t="shared" si="23"/>
        <v>0</v>
      </c>
      <c r="F69" s="112">
        <f t="shared" si="23"/>
        <v>0</v>
      </c>
      <c r="G69" s="112">
        <f t="shared" si="23"/>
        <v>0</v>
      </c>
      <c r="H69" s="112">
        <f t="shared" si="23"/>
        <v>0</v>
      </c>
      <c r="I69" s="112">
        <f t="shared" ref="I69:J69" si="24">I68/I57*100</f>
        <v>0</v>
      </c>
      <c r="J69" s="112">
        <f t="shared" si="24"/>
        <v>0</v>
      </c>
    </row>
    <row r="70" spans="2:10" x14ac:dyDescent="0.25">
      <c r="B70" s="41" t="s">
        <v>61</v>
      </c>
      <c r="C70" s="100"/>
      <c r="D70" s="100"/>
      <c r="E70" s="100"/>
      <c r="F70" s="100"/>
      <c r="G70" s="2"/>
      <c r="H70" s="2"/>
      <c r="I70" s="2"/>
      <c r="J70" s="2"/>
    </row>
    <row r="71" spans="2:10" x14ac:dyDescent="0.25">
      <c r="B71" s="14" t="s">
        <v>62</v>
      </c>
      <c r="C71" s="100">
        <v>0</v>
      </c>
      <c r="D71" s="100">
        <v>0</v>
      </c>
      <c r="E71" s="100">
        <v>0</v>
      </c>
      <c r="F71" s="100">
        <v>0</v>
      </c>
      <c r="G71" s="2">
        <v>0</v>
      </c>
      <c r="H71" s="2">
        <v>0</v>
      </c>
      <c r="I71" s="2">
        <v>0</v>
      </c>
      <c r="J71" s="2">
        <v>0</v>
      </c>
    </row>
    <row r="72" spans="2:10" x14ac:dyDescent="0.25">
      <c r="B72" s="15" t="s">
        <v>45</v>
      </c>
      <c r="C72" s="112">
        <f t="shared" ref="C72:H72" si="25">C71/C57*100</f>
        <v>0</v>
      </c>
      <c r="D72" s="112">
        <f t="shared" si="25"/>
        <v>0</v>
      </c>
      <c r="E72" s="112">
        <f t="shared" si="25"/>
        <v>0</v>
      </c>
      <c r="F72" s="112">
        <f t="shared" si="25"/>
        <v>0</v>
      </c>
      <c r="G72" s="112">
        <f t="shared" si="25"/>
        <v>0</v>
      </c>
      <c r="H72" s="112">
        <f t="shared" si="25"/>
        <v>0</v>
      </c>
      <c r="I72" s="112">
        <f t="shared" ref="I72:J72" si="26">I71/I57*100</f>
        <v>0</v>
      </c>
      <c r="J72" s="112">
        <f t="shared" si="26"/>
        <v>0</v>
      </c>
    </row>
    <row r="73" spans="2:10" x14ac:dyDescent="0.25">
      <c r="B73" s="15"/>
    </row>
    <row r="74" spans="2:10" x14ac:dyDescent="0.25">
      <c r="B74" s="89" t="s">
        <v>318</v>
      </c>
    </row>
    <row r="75" spans="2:10" x14ac:dyDescent="0.25">
      <c r="B75" s="9"/>
    </row>
    <row r="76" spans="2:10" x14ac:dyDescent="0.25">
      <c r="B76" s="9"/>
    </row>
    <row r="77" spans="2:10" x14ac:dyDescent="0.25">
      <c r="B77" s="9"/>
    </row>
    <row r="78" spans="2:10" x14ac:dyDescent="0.25">
      <c r="B78" s="9"/>
    </row>
    <row r="79" spans="2:10" x14ac:dyDescent="0.25">
      <c r="B79" s="10"/>
    </row>
    <row r="80" spans="2:10" x14ac:dyDescent="0.25">
      <c r="B80" s="6"/>
    </row>
    <row r="81" spans="2:12" x14ac:dyDescent="0.25">
      <c r="B81" s="6"/>
    </row>
    <row r="82" spans="2:12" ht="18.75" x14ac:dyDescent="0.3">
      <c r="B82" s="18" t="s">
        <v>116</v>
      </c>
      <c r="C82" s="19">
        <v>2014</v>
      </c>
      <c r="D82" s="19">
        <v>2015</v>
      </c>
      <c r="E82" s="19">
        <v>2016</v>
      </c>
      <c r="F82" s="19">
        <v>2017</v>
      </c>
      <c r="G82" s="19">
        <v>2018</v>
      </c>
      <c r="H82" s="19">
        <v>2019</v>
      </c>
      <c r="I82" s="19">
        <v>2020</v>
      </c>
      <c r="J82" s="19">
        <v>2021</v>
      </c>
    </row>
    <row r="83" spans="2:12" x14ac:dyDescent="0.25">
      <c r="B83" s="41" t="s">
        <v>312</v>
      </c>
      <c r="C83" s="28">
        <v>2677</v>
      </c>
      <c r="D83" s="28">
        <v>2791</v>
      </c>
      <c r="E83" s="28">
        <v>2951</v>
      </c>
      <c r="F83" s="28">
        <f>2482+149+102+3</f>
        <v>2736</v>
      </c>
      <c r="G83" s="13">
        <v>2640</v>
      </c>
      <c r="H83" s="13">
        <v>2504</v>
      </c>
      <c r="I83" s="13">
        <v>2396</v>
      </c>
      <c r="J83" s="13">
        <v>2704</v>
      </c>
    </row>
    <row r="84" spans="2:12" x14ac:dyDescent="0.25">
      <c r="B84" s="2" t="s">
        <v>55</v>
      </c>
      <c r="C84" s="21"/>
      <c r="D84" s="21"/>
      <c r="E84" s="21"/>
      <c r="F84" s="21"/>
      <c r="G84" s="2"/>
      <c r="H84" s="2"/>
      <c r="I84" s="2"/>
      <c r="J84" s="2"/>
    </row>
    <row r="85" spans="2:12" x14ac:dyDescent="0.25">
      <c r="B85" s="41" t="s">
        <v>59</v>
      </c>
      <c r="C85" s="21"/>
      <c r="D85" s="21"/>
      <c r="E85" s="21"/>
      <c r="F85" s="21"/>
      <c r="G85" s="2"/>
      <c r="H85" s="2"/>
      <c r="I85" s="2"/>
      <c r="J85" s="2"/>
    </row>
    <row r="86" spans="2:12" x14ac:dyDescent="0.25">
      <c r="B86" s="14" t="s">
        <v>62</v>
      </c>
      <c r="C86" s="120">
        <v>137</v>
      </c>
      <c r="D86" s="120">
        <v>140</v>
      </c>
      <c r="E86" s="120">
        <v>187</v>
      </c>
      <c r="F86" s="120">
        <v>152</v>
      </c>
      <c r="G86" s="2">
        <v>152</v>
      </c>
      <c r="H86" s="2">
        <v>170</v>
      </c>
      <c r="I86" s="2">
        <v>139</v>
      </c>
      <c r="J86" s="2">
        <v>152</v>
      </c>
    </row>
    <row r="87" spans="2:12" x14ac:dyDescent="0.25">
      <c r="B87" s="15" t="s">
        <v>45</v>
      </c>
      <c r="C87" s="36">
        <f t="shared" ref="C87:H87" si="27">C86/C83*100</f>
        <v>5.1176690324990659</v>
      </c>
      <c r="D87" s="36">
        <f t="shared" si="27"/>
        <v>5.0161232533142242</v>
      </c>
      <c r="E87" s="36">
        <f t="shared" si="27"/>
        <v>6.3368349711962049</v>
      </c>
      <c r="F87" s="36">
        <f t="shared" si="27"/>
        <v>5.5555555555555554</v>
      </c>
      <c r="G87" s="36">
        <f t="shared" si="27"/>
        <v>5.7575757575757578</v>
      </c>
      <c r="H87" s="36">
        <f t="shared" si="27"/>
        <v>6.7891373801916926</v>
      </c>
      <c r="I87" s="36">
        <f t="shared" ref="I87:J87" si="28">I86/I83*100</f>
        <v>5.8013355592654419</v>
      </c>
      <c r="J87" s="36">
        <f t="shared" si="28"/>
        <v>5.6213017751479288</v>
      </c>
      <c r="K87" s="142"/>
      <c r="L87" s="142"/>
    </row>
    <row r="88" spans="2:12" x14ac:dyDescent="0.25">
      <c r="B88" s="41" t="s">
        <v>60</v>
      </c>
      <c r="C88" s="2"/>
      <c r="D88" s="2"/>
      <c r="E88" s="2"/>
      <c r="F88" s="2"/>
      <c r="G88" s="2"/>
      <c r="H88" s="2"/>
      <c r="I88" s="2"/>
      <c r="J88" s="2"/>
      <c r="K88" s="3"/>
      <c r="L88" s="3"/>
    </row>
    <row r="89" spans="2:12" x14ac:dyDescent="0.25">
      <c r="B89" s="14" t="s">
        <v>62</v>
      </c>
      <c r="C89" s="13">
        <f>C83-1976</f>
        <v>701</v>
      </c>
      <c r="D89" s="2">
        <v>688</v>
      </c>
      <c r="E89" s="2">
        <v>704</v>
      </c>
      <c r="F89" s="2">
        <v>698</v>
      </c>
      <c r="G89" s="2">
        <v>622</v>
      </c>
      <c r="H89" s="2">
        <v>552</v>
      </c>
      <c r="I89" s="2">
        <v>503</v>
      </c>
      <c r="J89" s="2">
        <v>518</v>
      </c>
      <c r="K89" s="3"/>
      <c r="L89" s="3"/>
    </row>
    <row r="90" spans="2:12" x14ac:dyDescent="0.25">
      <c r="B90" s="15" t="s">
        <v>45</v>
      </c>
      <c r="C90" s="43">
        <f t="shared" ref="C90:H90" si="29">C89/C83*100</f>
        <v>26.186029137093765</v>
      </c>
      <c r="D90" s="43">
        <f t="shared" si="29"/>
        <v>24.650662844858473</v>
      </c>
      <c r="E90" s="43">
        <f t="shared" si="29"/>
        <v>23.856319891562183</v>
      </c>
      <c r="F90" s="43">
        <f t="shared" si="29"/>
        <v>25.511695906432745</v>
      </c>
      <c r="G90" s="43">
        <f t="shared" si="29"/>
        <v>23.560606060606059</v>
      </c>
      <c r="H90" s="43">
        <f t="shared" si="29"/>
        <v>22.044728434504794</v>
      </c>
      <c r="I90" s="43">
        <f t="shared" ref="I90:J90" si="30">I89/I83*100</f>
        <v>20.993322203672786</v>
      </c>
      <c r="J90" s="43">
        <f t="shared" si="30"/>
        <v>19.15680473372781</v>
      </c>
      <c r="K90" s="3"/>
      <c r="L90" s="3"/>
    </row>
    <row r="91" spans="2:12" x14ac:dyDescent="0.25">
      <c r="B91" s="41" t="s">
        <v>63</v>
      </c>
      <c r="C91" s="105">
        <v>38</v>
      </c>
      <c r="D91" s="105">
        <v>56</v>
      </c>
      <c r="E91" s="105">
        <v>53</v>
      </c>
      <c r="F91" s="105">
        <v>45</v>
      </c>
      <c r="G91" s="2">
        <v>57</v>
      </c>
      <c r="H91" s="2">
        <v>33</v>
      </c>
      <c r="I91" s="2">
        <v>43</v>
      </c>
      <c r="J91" s="2">
        <v>57</v>
      </c>
    </row>
    <row r="92" spans="2:12" x14ac:dyDescent="0.25">
      <c r="B92" s="15" t="s">
        <v>64</v>
      </c>
      <c r="C92" s="36">
        <f t="shared" ref="C92:H92" si="31">C91/C83*100</f>
        <v>1.4194994396712739</v>
      </c>
      <c r="D92" s="36">
        <f t="shared" si="31"/>
        <v>2.0064493013256897</v>
      </c>
      <c r="E92" s="36">
        <f t="shared" si="31"/>
        <v>1.7960013554727212</v>
      </c>
      <c r="F92" s="36">
        <f t="shared" si="31"/>
        <v>1.6447368421052631</v>
      </c>
      <c r="G92" s="36">
        <f t="shared" si="31"/>
        <v>2.1590909090909092</v>
      </c>
      <c r="H92" s="36">
        <f t="shared" si="31"/>
        <v>1.3178913738019169</v>
      </c>
      <c r="I92" s="36">
        <f t="shared" ref="I92:J92" si="32">I91/I83*100</f>
        <v>1.7946577629382305</v>
      </c>
      <c r="J92" s="36">
        <f t="shared" si="32"/>
        <v>2.1079881656804735</v>
      </c>
    </row>
    <row r="93" spans="2:12" x14ac:dyDescent="0.25">
      <c r="B93" s="41" t="s">
        <v>65</v>
      </c>
      <c r="C93" s="2"/>
      <c r="D93" s="2"/>
      <c r="E93" s="2"/>
      <c r="F93" s="2"/>
      <c r="G93" s="2"/>
      <c r="H93" s="2"/>
      <c r="I93" s="2"/>
      <c r="J93" s="2"/>
    </row>
    <row r="94" spans="2:12" x14ac:dyDescent="0.25">
      <c r="B94" s="14" t="s">
        <v>62</v>
      </c>
      <c r="C94" s="120">
        <v>5</v>
      </c>
      <c r="D94" s="121">
        <v>0</v>
      </c>
      <c r="E94" s="119">
        <v>4</v>
      </c>
      <c r="F94" s="119">
        <v>3</v>
      </c>
      <c r="G94" s="2">
        <v>3</v>
      </c>
      <c r="H94" s="2">
        <v>3</v>
      </c>
      <c r="I94" s="2">
        <v>4</v>
      </c>
      <c r="J94" s="2">
        <v>4</v>
      </c>
    </row>
    <row r="95" spans="2:12" x14ac:dyDescent="0.25">
      <c r="B95" s="15" t="s">
        <v>45</v>
      </c>
      <c r="C95" s="36">
        <f t="shared" ref="C95:H95" si="33">C94/C83*100</f>
        <v>0.18677624206200971</v>
      </c>
      <c r="D95" s="36">
        <f t="shared" si="33"/>
        <v>0</v>
      </c>
      <c r="E95" s="36">
        <f t="shared" si="33"/>
        <v>0.13554727211114878</v>
      </c>
      <c r="F95" s="36">
        <f t="shared" si="33"/>
        <v>0.10964912280701754</v>
      </c>
      <c r="G95" s="36">
        <f t="shared" si="33"/>
        <v>0.11363636363636363</v>
      </c>
      <c r="H95" s="36">
        <f t="shared" si="33"/>
        <v>0.11980830670926518</v>
      </c>
      <c r="I95" s="36">
        <f t="shared" ref="I95:J95" si="34">I94/I83*100</f>
        <v>0.1669449081803005</v>
      </c>
      <c r="J95" s="36">
        <f t="shared" si="34"/>
        <v>0.14792899408284024</v>
      </c>
    </row>
    <row r="96" spans="2:12" x14ac:dyDescent="0.25">
      <c r="B96" s="41" t="s">
        <v>61</v>
      </c>
      <c r="J96" s="161"/>
    </row>
    <row r="97" spans="2:10" x14ac:dyDescent="0.25">
      <c r="B97" s="14" t="s">
        <v>62</v>
      </c>
      <c r="C97" s="142" t="s">
        <v>310</v>
      </c>
      <c r="D97" s="142" t="s">
        <v>310</v>
      </c>
      <c r="E97" s="142" t="s">
        <v>310</v>
      </c>
      <c r="F97" s="142" t="s">
        <v>310</v>
      </c>
      <c r="G97" s="142" t="s">
        <v>310</v>
      </c>
      <c r="H97" s="142" t="s">
        <v>310</v>
      </c>
      <c r="I97" s="142" t="s">
        <v>310</v>
      </c>
      <c r="J97" s="142" t="s">
        <v>310</v>
      </c>
    </row>
    <row r="98" spans="2:10" x14ac:dyDescent="0.25">
      <c r="B98" s="15" t="s">
        <v>45</v>
      </c>
    </row>
    <row r="99" spans="2:10" x14ac:dyDescent="0.25">
      <c r="B99" s="15"/>
    </row>
    <row r="100" spans="2:10" x14ac:dyDescent="0.25">
      <c r="B100" s="89" t="s">
        <v>316</v>
      </c>
    </row>
    <row r="101" spans="2:10" x14ac:dyDescent="0.25">
      <c r="B101" s="9"/>
    </row>
    <row r="102" spans="2:10" x14ac:dyDescent="0.25">
      <c r="B102" s="9"/>
    </row>
    <row r="103" spans="2:10" x14ac:dyDescent="0.25">
      <c r="B103" s="9"/>
    </row>
    <row r="104" spans="2:10" x14ac:dyDescent="0.25">
      <c r="B104" s="9"/>
    </row>
    <row r="105" spans="2:10" x14ac:dyDescent="0.25">
      <c r="B105" s="10"/>
    </row>
    <row r="106" spans="2:10" x14ac:dyDescent="0.25">
      <c r="B106" s="6"/>
    </row>
    <row r="107" spans="2:10" x14ac:dyDescent="0.25">
      <c r="B107" s="6"/>
    </row>
    <row r="108" spans="2:10" ht="18.75" x14ac:dyDescent="0.3">
      <c r="B108" s="18" t="s">
        <v>117</v>
      </c>
      <c r="C108" s="19">
        <v>2014</v>
      </c>
      <c r="D108" s="19">
        <v>2015</v>
      </c>
      <c r="E108" s="19">
        <v>2016</v>
      </c>
      <c r="F108" s="19">
        <v>2017</v>
      </c>
      <c r="G108" s="19">
        <v>2018</v>
      </c>
      <c r="H108" s="19">
        <v>2019</v>
      </c>
      <c r="I108" s="19">
        <v>2020</v>
      </c>
      <c r="J108" s="19">
        <v>2021</v>
      </c>
    </row>
    <row r="109" spans="2:10" x14ac:dyDescent="0.25">
      <c r="B109" s="41" t="s">
        <v>312</v>
      </c>
      <c r="C109" s="13">
        <v>4192</v>
      </c>
      <c r="D109" s="13">
        <v>4156</v>
      </c>
      <c r="E109" s="13">
        <v>4099</v>
      </c>
      <c r="F109" s="13">
        <v>4042</v>
      </c>
      <c r="G109" s="13">
        <v>4287</v>
      </c>
      <c r="H109" s="13">
        <v>4696</v>
      </c>
      <c r="I109" s="28">
        <v>5106</v>
      </c>
      <c r="J109" s="13">
        <v>5539</v>
      </c>
    </row>
    <row r="110" spans="2:10" x14ac:dyDescent="0.25">
      <c r="B110" s="2" t="s">
        <v>55</v>
      </c>
      <c r="C110" s="2"/>
      <c r="D110" s="2"/>
      <c r="E110" s="2"/>
      <c r="F110" s="2"/>
      <c r="G110" s="2"/>
      <c r="H110" s="2"/>
      <c r="I110" s="2"/>
      <c r="J110" s="2"/>
    </row>
    <row r="111" spans="2:10" x14ac:dyDescent="0.25">
      <c r="B111" s="41" t="s">
        <v>59</v>
      </c>
      <c r="C111" s="2"/>
      <c r="D111" s="2"/>
      <c r="E111" s="2"/>
      <c r="F111" s="2"/>
      <c r="G111" s="13"/>
      <c r="H111" s="13"/>
      <c r="I111" s="13"/>
      <c r="J111" s="13"/>
    </row>
    <row r="112" spans="2:10" x14ac:dyDescent="0.25">
      <c r="B112" s="14" t="s">
        <v>62</v>
      </c>
      <c r="C112" s="42">
        <v>236</v>
      </c>
      <c r="D112" s="42">
        <v>222</v>
      </c>
      <c r="E112" s="42">
        <v>258</v>
      </c>
      <c r="F112" s="42">
        <v>244</v>
      </c>
      <c r="G112" s="101">
        <v>234</v>
      </c>
      <c r="H112" s="101">
        <v>275</v>
      </c>
      <c r="I112" s="132">
        <v>298</v>
      </c>
      <c r="J112" s="101">
        <v>307</v>
      </c>
    </row>
    <row r="113" spans="2:10" x14ac:dyDescent="0.25">
      <c r="B113" s="15" t="s">
        <v>45</v>
      </c>
      <c r="C113" s="36">
        <f t="shared" ref="C113:H113" si="35">C112/C109*100</f>
        <v>5.6297709923664119</v>
      </c>
      <c r="D113" s="36">
        <f t="shared" si="35"/>
        <v>5.3416746871992302</v>
      </c>
      <c r="E113" s="36">
        <f t="shared" si="35"/>
        <v>6.2942181019760914</v>
      </c>
      <c r="F113" s="36">
        <f t="shared" si="35"/>
        <v>6.0366155368629393</v>
      </c>
      <c r="G113" s="36">
        <f t="shared" si="35"/>
        <v>5.4583624912526236</v>
      </c>
      <c r="H113" s="36">
        <f t="shared" si="35"/>
        <v>5.8560477001703575</v>
      </c>
      <c r="I113" s="36">
        <f t="shared" ref="I113:J113" si="36">I112/I109*100</f>
        <v>5.8362710536623581</v>
      </c>
      <c r="J113" s="36">
        <f t="shared" si="36"/>
        <v>5.5425166997653008</v>
      </c>
    </row>
    <row r="114" spans="2:10" x14ac:dyDescent="0.25">
      <c r="B114" s="41" t="s">
        <v>60</v>
      </c>
      <c r="C114" s="2"/>
      <c r="D114" s="2"/>
      <c r="E114" s="2"/>
      <c r="F114" s="2"/>
      <c r="G114" s="36"/>
      <c r="H114" s="36"/>
      <c r="I114" s="36"/>
      <c r="J114" s="36"/>
    </row>
    <row r="115" spans="2:10" x14ac:dyDescent="0.25">
      <c r="B115" s="14" t="s">
        <v>62</v>
      </c>
      <c r="C115" s="13">
        <v>1312</v>
      </c>
      <c r="D115" s="13">
        <v>1305</v>
      </c>
      <c r="E115" s="13">
        <v>1257</v>
      </c>
      <c r="F115" s="13">
        <v>1224</v>
      </c>
      <c r="G115" s="13">
        <v>1303</v>
      </c>
      <c r="H115" s="13">
        <v>1396</v>
      </c>
      <c r="I115" s="28">
        <v>1446</v>
      </c>
      <c r="J115" s="13">
        <v>1413</v>
      </c>
    </row>
    <row r="116" spans="2:10" x14ac:dyDescent="0.25">
      <c r="B116" s="15" t="s">
        <v>45</v>
      </c>
      <c r="C116" s="43">
        <f t="shared" ref="C116:H116" si="37">C115/C109*100</f>
        <v>31.297709923664126</v>
      </c>
      <c r="D116" s="43">
        <f t="shared" si="37"/>
        <v>31.40038498556304</v>
      </c>
      <c r="E116" s="43">
        <f t="shared" si="37"/>
        <v>30.666016101488168</v>
      </c>
      <c r="F116" s="43">
        <f t="shared" si="37"/>
        <v>30.282038594755072</v>
      </c>
      <c r="G116" s="43">
        <f t="shared" si="37"/>
        <v>30.394215068812692</v>
      </c>
      <c r="H116" s="43">
        <f t="shared" si="37"/>
        <v>29.727427597955707</v>
      </c>
      <c r="I116" s="43">
        <f>I115/I109*100</f>
        <v>28.319623971797885</v>
      </c>
      <c r="J116" s="43">
        <f>J115/J109*100</f>
        <v>25.510019859180353</v>
      </c>
    </row>
    <row r="117" spans="2:10" x14ac:dyDescent="0.25">
      <c r="B117" s="41" t="s">
        <v>63</v>
      </c>
      <c r="C117" s="2">
        <v>131</v>
      </c>
      <c r="D117" s="2">
        <v>130</v>
      </c>
      <c r="E117" s="2">
        <v>106</v>
      </c>
      <c r="F117" s="2">
        <v>103</v>
      </c>
      <c r="G117" s="38">
        <v>116</v>
      </c>
      <c r="H117" s="38">
        <v>102</v>
      </c>
      <c r="I117" s="153">
        <v>109</v>
      </c>
      <c r="J117" s="38">
        <v>101</v>
      </c>
    </row>
    <row r="118" spans="2:10" x14ac:dyDescent="0.25">
      <c r="B118" s="15" t="s">
        <v>64</v>
      </c>
      <c r="C118" s="36">
        <f t="shared" ref="C118:H118" si="38">C117/C109*100</f>
        <v>3.125</v>
      </c>
      <c r="D118" s="36">
        <f t="shared" si="38"/>
        <v>3.1280076997112611</v>
      </c>
      <c r="E118" s="36">
        <f t="shared" si="38"/>
        <v>2.585996584532813</v>
      </c>
      <c r="F118" s="36">
        <f t="shared" si="38"/>
        <v>2.5482434438396835</v>
      </c>
      <c r="G118" s="36">
        <f t="shared" si="38"/>
        <v>2.7058549101936085</v>
      </c>
      <c r="H118" s="36">
        <f t="shared" si="38"/>
        <v>2.17206132879046</v>
      </c>
      <c r="I118" s="36">
        <f t="shared" ref="I118:J118" si="39">I117/I109*100</f>
        <v>2.134743439091265</v>
      </c>
      <c r="J118" s="36">
        <f t="shared" si="39"/>
        <v>1.8234338328218092</v>
      </c>
    </row>
    <row r="119" spans="2:10" x14ac:dyDescent="0.25">
      <c r="B119" s="41" t="s">
        <v>247</v>
      </c>
      <c r="C119" s="2"/>
      <c r="D119" s="2"/>
      <c r="E119" s="2"/>
      <c r="F119" s="2"/>
      <c r="G119" s="38"/>
      <c r="H119" s="38"/>
      <c r="I119" s="38"/>
      <c r="J119" s="38"/>
    </row>
    <row r="120" spans="2:10" x14ac:dyDescent="0.25">
      <c r="B120" s="14" t="s">
        <v>62</v>
      </c>
      <c r="C120" s="2">
        <v>0</v>
      </c>
      <c r="D120" s="2">
        <v>2</v>
      </c>
      <c r="E120" s="2">
        <v>3</v>
      </c>
      <c r="F120" s="44">
        <v>0</v>
      </c>
      <c r="G120" s="101">
        <v>3</v>
      </c>
      <c r="H120" s="101">
        <v>0</v>
      </c>
      <c r="I120" s="132">
        <v>1</v>
      </c>
      <c r="J120" s="101">
        <v>0</v>
      </c>
    </row>
    <row r="121" spans="2:10" x14ac:dyDescent="0.25">
      <c r="B121" s="15" t="s">
        <v>45</v>
      </c>
      <c r="C121" s="36">
        <f t="shared" ref="C121:H121" si="40">C120/C109*100</f>
        <v>0</v>
      </c>
      <c r="D121" s="36">
        <f t="shared" si="40"/>
        <v>4.8123195380173248E-2</v>
      </c>
      <c r="E121" s="36">
        <f t="shared" si="40"/>
        <v>7.3188582581117351E-2</v>
      </c>
      <c r="F121" s="36">
        <f t="shared" si="40"/>
        <v>0</v>
      </c>
      <c r="G121" s="36">
        <f t="shared" si="40"/>
        <v>6.997900629811056E-2</v>
      </c>
      <c r="H121" s="36">
        <f t="shared" si="40"/>
        <v>0</v>
      </c>
      <c r="I121" s="36">
        <f t="shared" ref="I121:J121" si="41">I120/I109*100</f>
        <v>1.9584802193497845E-2</v>
      </c>
      <c r="J121" s="36">
        <f t="shared" si="41"/>
        <v>0</v>
      </c>
    </row>
    <row r="122" spans="2:10" x14ac:dyDescent="0.25">
      <c r="B122" s="41" t="s">
        <v>61</v>
      </c>
      <c r="C122" s="2"/>
      <c r="D122" s="2"/>
      <c r="E122" s="2"/>
      <c r="F122" s="2"/>
      <c r="G122" s="38"/>
      <c r="H122" s="38"/>
      <c r="I122" s="38"/>
      <c r="J122" s="38"/>
    </row>
    <row r="123" spans="2:10" x14ac:dyDescent="0.25">
      <c r="B123" s="14" t="s">
        <v>62</v>
      </c>
      <c r="C123" s="42">
        <v>144</v>
      </c>
      <c r="D123" s="42">
        <v>142</v>
      </c>
      <c r="E123" s="42">
        <v>145</v>
      </c>
      <c r="F123" s="42">
        <v>144</v>
      </c>
      <c r="G123" s="38">
        <v>154</v>
      </c>
      <c r="H123" s="38">
        <v>156</v>
      </c>
      <c r="I123" s="153">
        <v>152</v>
      </c>
      <c r="J123" s="38">
        <v>157</v>
      </c>
    </row>
    <row r="124" spans="2:10" x14ac:dyDescent="0.25">
      <c r="B124" s="15" t="s">
        <v>45</v>
      </c>
      <c r="C124" s="36">
        <f t="shared" ref="C124:H124" si="42">C123/C109*100</f>
        <v>3.4351145038167941</v>
      </c>
      <c r="D124" s="36">
        <f t="shared" si="42"/>
        <v>3.4167468719923004</v>
      </c>
      <c r="E124" s="36">
        <f t="shared" si="42"/>
        <v>3.5374481580873383</v>
      </c>
      <c r="F124" s="36">
        <f t="shared" si="42"/>
        <v>3.5625927758535374</v>
      </c>
      <c r="G124" s="36">
        <f t="shared" si="42"/>
        <v>3.5922556566363424</v>
      </c>
      <c r="H124" s="36">
        <f t="shared" si="42"/>
        <v>3.3219761499148208</v>
      </c>
      <c r="I124" s="36">
        <f t="shared" ref="I124:J124" si="43">I123/I109*100</f>
        <v>2.9768899334116727</v>
      </c>
      <c r="J124" s="36">
        <f t="shared" si="43"/>
        <v>2.8344466510200399</v>
      </c>
    </row>
    <row r="125" spans="2:10" x14ac:dyDescent="0.25">
      <c r="B125" s="15"/>
      <c r="C125" s="36"/>
      <c r="D125" s="36"/>
      <c r="E125" s="36"/>
      <c r="F125" s="36"/>
      <c r="G125" s="36"/>
      <c r="H125" s="36"/>
    </row>
    <row r="126" spans="2:10" x14ac:dyDescent="0.25">
      <c r="B126" s="89" t="s">
        <v>317</v>
      </c>
      <c r="C126" s="22"/>
      <c r="D126" s="22"/>
      <c r="E126" s="22"/>
      <c r="F126" s="22"/>
      <c r="G126" s="22"/>
      <c r="H126" s="22"/>
    </row>
    <row r="127" spans="2:10" x14ac:dyDescent="0.25">
      <c r="B127" s="89" t="s">
        <v>246</v>
      </c>
      <c r="C127" s="22"/>
      <c r="D127" s="22"/>
      <c r="E127" s="22"/>
      <c r="F127" s="22"/>
      <c r="G127" s="22"/>
      <c r="H127" s="22"/>
    </row>
    <row r="128" spans="2:10" x14ac:dyDescent="0.25">
      <c r="B128" s="9"/>
      <c r="C128" s="22"/>
      <c r="D128" s="22"/>
      <c r="E128" s="22"/>
      <c r="F128" s="22"/>
      <c r="G128" s="22"/>
      <c r="H128" s="22"/>
    </row>
    <row r="129" spans="2:2" x14ac:dyDescent="0.25">
      <c r="B129" s="9"/>
    </row>
    <row r="130" spans="2:2" x14ac:dyDescent="0.25">
      <c r="B130" s="9"/>
    </row>
    <row r="131" spans="2:2" x14ac:dyDescent="0.25">
      <c r="B131" s="10"/>
    </row>
    <row r="132" spans="2:2" x14ac:dyDescent="0.25">
      <c r="B132" s="6"/>
    </row>
    <row r="133" spans="2:2" x14ac:dyDescent="0.25">
      <c r="B133" s="6"/>
    </row>
  </sheetData>
  <pageMargins left="0.7" right="0.7" top="0.75" bottom="0.75" header="0.3" footer="0.3"/>
  <pageSetup paperSize="9" orientation="portrait" r:id="rId1"/>
  <ignoredErrors>
    <ignoredError sqref="C90:G90 C116:J116 G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133"/>
  <sheetViews>
    <sheetView zoomScaleNormal="100" workbookViewId="0">
      <pane ySplit="2" topLeftCell="A138"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8</v>
      </c>
    </row>
    <row r="3" spans="2:10" ht="18.75" x14ac:dyDescent="0.3">
      <c r="B3" s="4"/>
    </row>
    <row r="4" spans="2:10" ht="18.75" x14ac:dyDescent="0.3">
      <c r="B4" s="18" t="s">
        <v>118</v>
      </c>
      <c r="C4" s="19">
        <v>2014</v>
      </c>
      <c r="D4" s="19">
        <v>2015</v>
      </c>
      <c r="E4" s="19">
        <v>2016</v>
      </c>
      <c r="F4" s="19">
        <v>2017</v>
      </c>
      <c r="G4" s="19">
        <v>2018</v>
      </c>
      <c r="H4" s="19">
        <v>2019</v>
      </c>
      <c r="I4" s="19">
        <v>2020</v>
      </c>
      <c r="J4" s="19">
        <v>2021</v>
      </c>
    </row>
    <row r="5" spans="2:10" x14ac:dyDescent="0.25">
      <c r="B5" s="41" t="s">
        <v>66</v>
      </c>
      <c r="C5" s="22"/>
      <c r="D5" s="22"/>
      <c r="E5" s="22"/>
      <c r="F5" s="22"/>
      <c r="G5" s="22"/>
      <c r="H5" s="22"/>
      <c r="I5" s="22"/>
      <c r="J5" s="151"/>
    </row>
    <row r="6" spans="2:10" x14ac:dyDescent="0.25">
      <c r="B6" s="14" t="s">
        <v>68</v>
      </c>
      <c r="C6" s="51">
        <v>61</v>
      </c>
      <c r="D6" s="51">
        <v>55</v>
      </c>
      <c r="E6" s="51">
        <v>55</v>
      </c>
      <c r="F6" s="51">
        <v>68</v>
      </c>
      <c r="G6" s="21">
        <v>66</v>
      </c>
      <c r="H6" s="21">
        <v>62</v>
      </c>
      <c r="I6" s="21">
        <v>63</v>
      </c>
      <c r="J6" s="2">
        <v>44</v>
      </c>
    </row>
    <row r="7" spans="2:10" x14ac:dyDescent="0.25">
      <c r="B7" s="15" t="s">
        <v>69</v>
      </c>
      <c r="C7" s="36">
        <f>C6/('Tabell 8'!C7*365)*100000</f>
        <v>13.777682413127195</v>
      </c>
      <c r="D7" s="36">
        <f>D6/('Tabell 8'!D7*365)*100000</f>
        <v>13.965239249939696</v>
      </c>
      <c r="E7" s="36">
        <f>E6/('Tabell 8'!E7*365)*100000</f>
        <v>14.381077639516064</v>
      </c>
      <c r="F7" s="36">
        <f>F6/('Tabell 8'!F7*365)*100000</f>
        <v>17.742987606001304</v>
      </c>
      <c r="G7" s="36">
        <f>G6/('Tabell 8'!G7*365)*100000</f>
        <v>16.869289841236977</v>
      </c>
      <c r="H7" s="36">
        <f>H6/('Tabell 8'!H12*365)*100000</f>
        <v>16.93549488520739</v>
      </c>
      <c r="I7" s="36">
        <f>I6/('Tabell 8'!I7*365)*100000</f>
        <v>16.329492878526718</v>
      </c>
      <c r="J7" s="36">
        <v>11.134011748912853</v>
      </c>
    </row>
    <row r="8" spans="2:10" x14ac:dyDescent="0.25">
      <c r="B8" s="2"/>
      <c r="C8" s="2"/>
      <c r="D8" s="2"/>
      <c r="E8" s="2"/>
      <c r="F8" s="2"/>
      <c r="G8" s="21"/>
      <c r="H8" s="21"/>
      <c r="I8" s="21"/>
      <c r="J8" s="164"/>
    </row>
    <row r="9" spans="2:10" x14ac:dyDescent="0.25">
      <c r="B9" s="41" t="s">
        <v>67</v>
      </c>
      <c r="C9" s="2"/>
      <c r="D9" s="2"/>
      <c r="E9" s="2"/>
      <c r="F9" s="2"/>
      <c r="G9" s="21"/>
      <c r="H9" s="21"/>
      <c r="I9" s="21"/>
      <c r="J9" s="164"/>
    </row>
    <row r="10" spans="2:10" x14ac:dyDescent="0.25">
      <c r="B10" s="14" t="s">
        <v>68</v>
      </c>
      <c r="C10" s="51">
        <v>11</v>
      </c>
      <c r="D10" s="51">
        <v>2</v>
      </c>
      <c r="E10" s="51">
        <v>1</v>
      </c>
      <c r="F10" s="51">
        <v>1</v>
      </c>
      <c r="G10" s="21">
        <v>2</v>
      </c>
      <c r="H10" s="21">
        <v>3</v>
      </c>
      <c r="I10" s="21">
        <v>5</v>
      </c>
      <c r="J10" s="151">
        <v>3</v>
      </c>
    </row>
    <row r="11" spans="2:10" x14ac:dyDescent="0.25">
      <c r="B11" s="15" t="s">
        <v>70</v>
      </c>
      <c r="C11" s="36">
        <f>C10/(('Tabell 8'!C12+'Tabell 8'!C17)*365)*100000</f>
        <v>1.1721892765993724</v>
      </c>
      <c r="D11" s="36">
        <f>D10/(('Tabell 8'!D12+'Tabell 8'!D17)*365)*100000</f>
        <v>0.23387477292221268</v>
      </c>
      <c r="E11" s="36">
        <f>E10/(('Tabell 8'!E12+'Tabell 8'!E17)*365)*100000</f>
        <v>0.11547357444985502</v>
      </c>
      <c r="F11" s="36">
        <f>F10/(('Tabell 8'!F12+'Tabell 8'!F17)*365)*100000</f>
        <v>0.11415525114155252</v>
      </c>
      <c r="G11" s="36">
        <f>G10/(('Tabell 8'!G12+'Tabell 8'!G17)*365)*100000</f>
        <v>0.20549229532325222</v>
      </c>
      <c r="H11" s="36">
        <f>H10/(('Tabell 8'!H12+'Tabell 8'!H17)*365)*100000</f>
        <v>0.28748436803748795</v>
      </c>
      <c r="I11" s="36">
        <f>I10/(('Tabell 8'!I12+'Tabell 8'!I17)*365)*100000</f>
        <v>0.45239861746982502</v>
      </c>
      <c r="J11" s="36">
        <v>0.17755839451699679</v>
      </c>
    </row>
    <row r="12" spans="2:10" x14ac:dyDescent="0.25">
      <c r="B12" s="15"/>
      <c r="C12" s="22"/>
      <c r="D12" s="22"/>
      <c r="E12" s="22"/>
      <c r="F12" s="22"/>
      <c r="G12" s="22"/>
      <c r="H12" s="22"/>
      <c r="I12" s="22"/>
    </row>
    <row r="13" spans="2:10" x14ac:dyDescent="0.25">
      <c r="B13" s="41"/>
    </row>
    <row r="14" spans="2:10" x14ac:dyDescent="0.25">
      <c r="B14" s="15"/>
    </row>
    <row r="15" spans="2:10" x14ac:dyDescent="0.25">
      <c r="B15" s="41"/>
    </row>
    <row r="16" spans="2:10" x14ac:dyDescent="0.25">
      <c r="B16" s="14"/>
    </row>
    <row r="17" spans="2:10" x14ac:dyDescent="0.25">
      <c r="B17" s="15"/>
    </row>
    <row r="18" spans="2:10" x14ac:dyDescent="0.25">
      <c r="B18" s="41"/>
    </row>
    <row r="19" spans="2:10" x14ac:dyDescent="0.25">
      <c r="B19" s="14"/>
    </row>
    <row r="20" spans="2:10" x14ac:dyDescent="0.25">
      <c r="B20" s="15"/>
    </row>
    <row r="21" spans="2:10" x14ac:dyDescent="0.25">
      <c r="B21" s="15"/>
    </row>
    <row r="22" spans="2:10" x14ac:dyDescent="0.25">
      <c r="B22" s="10"/>
    </row>
    <row r="23" spans="2:10" x14ac:dyDescent="0.25">
      <c r="B23" s="9"/>
    </row>
    <row r="24" spans="2:10" x14ac:dyDescent="0.25">
      <c r="B24" s="9"/>
    </row>
    <row r="25" spans="2:10" x14ac:dyDescent="0.25">
      <c r="B25" s="9"/>
    </row>
    <row r="26" spans="2:10" x14ac:dyDescent="0.25">
      <c r="B26" s="9"/>
    </row>
    <row r="27" spans="2:10" x14ac:dyDescent="0.25">
      <c r="B27" s="10"/>
    </row>
    <row r="28" spans="2:10" x14ac:dyDescent="0.25">
      <c r="B28" s="6"/>
    </row>
    <row r="29" spans="2:10" x14ac:dyDescent="0.25">
      <c r="B29" s="6"/>
    </row>
    <row r="30" spans="2:10" ht="18.75" x14ac:dyDescent="0.3">
      <c r="B30" s="18" t="s">
        <v>119</v>
      </c>
      <c r="C30" s="19">
        <v>2014</v>
      </c>
      <c r="D30" s="19">
        <v>2015</v>
      </c>
      <c r="E30" s="19">
        <v>2016</v>
      </c>
      <c r="F30" s="19">
        <v>2017</v>
      </c>
      <c r="G30" s="19">
        <v>2018</v>
      </c>
      <c r="H30" s="19">
        <v>2019</v>
      </c>
      <c r="I30" s="19">
        <v>2020</v>
      </c>
      <c r="J30" s="19">
        <v>2021</v>
      </c>
    </row>
    <row r="31" spans="2:10" x14ac:dyDescent="0.25">
      <c r="B31" s="41" t="s">
        <v>66</v>
      </c>
      <c r="J31" s="161"/>
    </row>
    <row r="32" spans="2:10" x14ac:dyDescent="0.25">
      <c r="B32" s="14" t="s">
        <v>68</v>
      </c>
      <c r="C32" s="2">
        <v>39</v>
      </c>
      <c r="D32" s="2">
        <v>42</v>
      </c>
      <c r="E32" s="2">
        <v>55</v>
      </c>
      <c r="F32" s="2">
        <v>63</v>
      </c>
      <c r="G32" s="2">
        <v>52</v>
      </c>
      <c r="H32" s="2">
        <v>38</v>
      </c>
      <c r="I32" s="2">
        <v>73</v>
      </c>
      <c r="J32" s="2">
        <v>75</v>
      </c>
    </row>
    <row r="33" spans="2:10" x14ac:dyDescent="0.25">
      <c r="B33" s="15" t="s">
        <v>69</v>
      </c>
      <c r="C33" s="36">
        <f>C32/('Tabell 8'!C33*365)*100000</f>
        <v>14.439096630877453</v>
      </c>
      <c r="D33" s="36">
        <f>D32/('Tabell 8'!D33*365)*100000</f>
        <v>15.342465753424657</v>
      </c>
      <c r="E33" s="36">
        <f>E32/('Tabell 8'!E33*365)*100000</f>
        <v>18.557257574735139</v>
      </c>
      <c r="F33" s="36">
        <f>F32/('Tabell 8'!F33*365)*100000</f>
        <v>20.499137734682588</v>
      </c>
      <c r="G33" s="36">
        <f>G32/('Tabell 8'!G33*365)*100000</f>
        <v>17.545043525204129</v>
      </c>
      <c r="H33" s="36">
        <f>H32/('Tabell 8'!H33*365)*100000</f>
        <v>12.86892324364597</v>
      </c>
      <c r="I33" s="36">
        <f>I32/('Tabell 8'!I33*365)*100000</f>
        <v>26.07561929595828</v>
      </c>
      <c r="J33" s="36">
        <f>J32/('Tabell 8'!J33*365)*100000</f>
        <v>25.462137801089778</v>
      </c>
    </row>
    <row r="34" spans="2:10" x14ac:dyDescent="0.25">
      <c r="B34" s="2"/>
      <c r="C34" s="2"/>
      <c r="D34" s="2"/>
      <c r="E34" s="2"/>
      <c r="F34" s="2"/>
      <c r="G34" s="2"/>
      <c r="H34" s="2"/>
      <c r="I34" s="2"/>
      <c r="J34" s="2"/>
    </row>
    <row r="35" spans="2:10" x14ac:dyDescent="0.25">
      <c r="B35" s="41" t="s">
        <v>67</v>
      </c>
      <c r="C35" s="2"/>
      <c r="D35" s="2"/>
      <c r="E35" s="2"/>
      <c r="F35" s="2"/>
      <c r="G35" s="2"/>
      <c r="H35" s="2"/>
      <c r="I35" s="2"/>
      <c r="J35" s="2"/>
    </row>
    <row r="36" spans="2:10" x14ac:dyDescent="0.25">
      <c r="B36" s="14" t="s">
        <v>68</v>
      </c>
      <c r="C36" s="2">
        <v>7</v>
      </c>
      <c r="D36" s="2">
        <v>2</v>
      </c>
      <c r="E36" s="2">
        <v>4</v>
      </c>
      <c r="F36" s="2">
        <v>5</v>
      </c>
      <c r="G36" s="2">
        <v>1</v>
      </c>
      <c r="H36" s="2">
        <v>1</v>
      </c>
      <c r="I36" s="2">
        <v>2</v>
      </c>
      <c r="J36" s="2">
        <v>1</v>
      </c>
    </row>
    <row r="37" spans="2:10" x14ac:dyDescent="0.25">
      <c r="B37" s="15" t="s">
        <v>70</v>
      </c>
      <c r="C37" s="36">
        <f>C36/(('Tabell 8'!C38+'Tabell 8'!C43)*365)*100000</f>
        <v>0.88296879336007472</v>
      </c>
      <c r="D37" s="36">
        <f>D36/(('Tabell 8'!D38+'Tabell 8'!D43)*365)*100000</f>
        <v>0.26117502644397145</v>
      </c>
      <c r="E37" s="36">
        <f>E36/(('Tabell 8'!E38+'Tabell 8'!E43)*365)*100000</f>
        <v>0.52284847851092753</v>
      </c>
      <c r="F37" s="36">
        <f>F36/(('Tabell 8'!F38+'Tabell 8'!F43)*365)*100000</f>
        <v>0.69571509075603355</v>
      </c>
      <c r="G37" s="36">
        <f>G36/(('Tabell 8'!G38+'Tabell 8'!G43)*365)*100000</f>
        <v>0.14542070209114971</v>
      </c>
      <c r="H37" s="36">
        <f>H36/(('Tabell 8'!H38+'Tabell 8'!H43)*365)*100000</f>
        <v>0.14276842248031579</v>
      </c>
      <c r="I37" s="36">
        <f>I36/(('Tabell 8'!I38+'Tabell 8'!I43)*365)*100000</f>
        <v>0.30424497805633094</v>
      </c>
      <c r="J37" s="36">
        <f>J36/(('Tabell 8'!J38+'Tabell 8'!J43)*365)*100000</f>
        <v>0.15504957710227846</v>
      </c>
    </row>
    <row r="38" spans="2:10" x14ac:dyDescent="0.25">
      <c r="B38" s="15"/>
    </row>
    <row r="39" spans="2:10" x14ac:dyDescent="0.25">
      <c r="B39" s="2"/>
    </row>
    <row r="40" spans="2:10" x14ac:dyDescent="0.25">
      <c r="B40" s="15"/>
    </row>
    <row r="41" spans="2:10" x14ac:dyDescent="0.25">
      <c r="B41" s="41"/>
    </row>
    <row r="42" spans="2:10" x14ac:dyDescent="0.25">
      <c r="B42" s="14"/>
    </row>
    <row r="43" spans="2:10" x14ac:dyDescent="0.25">
      <c r="B43" s="15"/>
    </row>
    <row r="44" spans="2:10" x14ac:dyDescent="0.25">
      <c r="B44" s="41"/>
    </row>
    <row r="45" spans="2:10" x14ac:dyDescent="0.25">
      <c r="B45" s="14"/>
    </row>
    <row r="46" spans="2:10" x14ac:dyDescent="0.25">
      <c r="B46" s="15"/>
    </row>
    <row r="47" spans="2:10" x14ac:dyDescent="0.25">
      <c r="B47" s="15"/>
    </row>
    <row r="48" spans="2:10" x14ac:dyDescent="0.25">
      <c r="B48" s="10"/>
    </row>
    <row r="49" spans="2:10" x14ac:dyDescent="0.25">
      <c r="B49" s="9"/>
    </row>
    <row r="50" spans="2:10" x14ac:dyDescent="0.25">
      <c r="B50" s="9"/>
    </row>
    <row r="51" spans="2:10" x14ac:dyDescent="0.25">
      <c r="B51" s="9"/>
    </row>
    <row r="52" spans="2:10" x14ac:dyDescent="0.25">
      <c r="B52" s="9"/>
    </row>
    <row r="53" spans="2:10" x14ac:dyDescent="0.25">
      <c r="B53" s="10"/>
    </row>
    <row r="54" spans="2:10" x14ac:dyDescent="0.25">
      <c r="B54" s="6"/>
    </row>
    <row r="55" spans="2:10" x14ac:dyDescent="0.25">
      <c r="B55" s="6"/>
    </row>
    <row r="56" spans="2:10" ht="18.75" x14ac:dyDescent="0.3">
      <c r="B56" s="18" t="s">
        <v>120</v>
      </c>
      <c r="C56" s="19">
        <v>2014</v>
      </c>
      <c r="D56" s="19">
        <v>2015</v>
      </c>
      <c r="E56" s="19">
        <v>2016</v>
      </c>
      <c r="F56" s="19">
        <v>2017</v>
      </c>
      <c r="G56" s="19">
        <v>2018</v>
      </c>
      <c r="H56" s="19">
        <v>2019</v>
      </c>
      <c r="I56" s="19">
        <v>2020</v>
      </c>
      <c r="J56" s="19">
        <v>2021</v>
      </c>
    </row>
    <row r="57" spans="2:10" x14ac:dyDescent="0.25">
      <c r="B57" s="41" t="s">
        <v>66</v>
      </c>
      <c r="J57" s="161"/>
    </row>
    <row r="58" spans="2:10" x14ac:dyDescent="0.25">
      <c r="B58" s="14" t="s">
        <v>68</v>
      </c>
      <c r="C58" s="51">
        <v>0</v>
      </c>
      <c r="D58" s="51">
        <v>0</v>
      </c>
      <c r="E58" s="51">
        <v>2</v>
      </c>
      <c r="F58" s="51">
        <v>0</v>
      </c>
      <c r="G58" s="2">
        <v>1</v>
      </c>
      <c r="H58" s="2">
        <v>0</v>
      </c>
      <c r="I58" s="2">
        <v>0</v>
      </c>
      <c r="J58" s="2">
        <v>0</v>
      </c>
    </row>
    <row r="59" spans="2:10" x14ac:dyDescent="0.25">
      <c r="B59" s="15" t="s">
        <v>69</v>
      </c>
      <c r="C59" s="36">
        <f>C58/('Tabell 8'!C59*365)*100000</f>
        <v>0</v>
      </c>
      <c r="D59" s="36">
        <f>D58/('Tabell 8'!D59*365)*100000</f>
        <v>0</v>
      </c>
      <c r="E59" s="36">
        <f>E58/('Tabell 8'!E59*365)*100000</f>
        <v>12.832440409354847</v>
      </c>
      <c r="F59" s="36">
        <f>F58/('Tabell 8'!F59*365)*100000</f>
        <v>0</v>
      </c>
      <c r="G59" s="36">
        <f>G58/('Tabell 8'!G59*365)*100000</f>
        <v>7.206012696994371</v>
      </c>
      <c r="H59" s="36">
        <f>H58/('Tabell 8'!H59*365)*100000</f>
        <v>0</v>
      </c>
      <c r="I59" s="36">
        <f>I58/('Tabell 8'!I59*365)*100000</f>
        <v>0</v>
      </c>
      <c r="J59" s="36">
        <f>J58/('Tabell 8'!J59*365)*100000</f>
        <v>0</v>
      </c>
    </row>
    <row r="60" spans="2:10" x14ac:dyDescent="0.25">
      <c r="B60" s="2"/>
      <c r="C60" s="2"/>
      <c r="D60" s="2"/>
      <c r="E60" s="2"/>
      <c r="F60" s="2"/>
      <c r="G60" s="2"/>
      <c r="H60" s="2"/>
      <c r="I60" s="2"/>
      <c r="J60" s="2"/>
    </row>
    <row r="61" spans="2:10" x14ac:dyDescent="0.25">
      <c r="B61" s="41" t="s">
        <v>67</v>
      </c>
      <c r="C61" s="2"/>
      <c r="D61" s="2"/>
      <c r="E61" s="2"/>
      <c r="F61" s="2"/>
      <c r="G61" s="2"/>
      <c r="H61" s="2"/>
      <c r="I61" s="2"/>
      <c r="J61" s="2"/>
    </row>
    <row r="62" spans="2:10" x14ac:dyDescent="0.25">
      <c r="B62" s="14" t="s">
        <v>68</v>
      </c>
      <c r="C62" s="51">
        <v>0</v>
      </c>
      <c r="D62" s="51">
        <v>2</v>
      </c>
      <c r="E62" s="51">
        <v>0</v>
      </c>
      <c r="F62" s="51">
        <v>0</v>
      </c>
      <c r="G62" s="2">
        <v>0</v>
      </c>
      <c r="H62" s="2">
        <v>0</v>
      </c>
      <c r="I62" s="2">
        <v>0</v>
      </c>
      <c r="J62" s="2">
        <v>0</v>
      </c>
    </row>
    <row r="63" spans="2:10" x14ac:dyDescent="0.25">
      <c r="B63" s="15" t="s">
        <v>70</v>
      </c>
      <c r="C63" s="36">
        <f>C62/(('Tabell 8'!C64+'Tabell 8'!C69)*365)*100000</f>
        <v>0</v>
      </c>
      <c r="D63" s="36">
        <f>D62/(('Tabell 8'!D64+'Tabell 8'!D69)*365)*100000</f>
        <v>5.3245088473370137</v>
      </c>
      <c r="E63" s="36">
        <f>E62/(('Tabell 8'!E64+'Tabell 8'!E69)*365)*100000</f>
        <v>0</v>
      </c>
      <c r="F63" s="36">
        <f>F62/(('Tabell 8'!F64+'Tabell 8'!F69)*365)*100000</f>
        <v>0</v>
      </c>
      <c r="G63" s="36">
        <f>G62/(('Tabell 8'!G64+'Tabell 8'!G69)*365)*100000</f>
        <v>0</v>
      </c>
      <c r="H63" s="36">
        <f>H62/(('Tabell 8'!H64+'Tabell 8'!H69)*365)*100000</f>
        <v>0</v>
      </c>
      <c r="I63" s="36">
        <f>I62/(('Tabell 8'!I64+'Tabell 8'!I69)*365)*100000</f>
        <v>0</v>
      </c>
      <c r="J63" s="36">
        <f>J62/(('Tabell 8'!J64+'Tabell 8'!J69)*365)*100000</f>
        <v>0</v>
      </c>
    </row>
    <row r="64" spans="2:10" x14ac:dyDescent="0.25">
      <c r="B64" s="15"/>
    </row>
    <row r="65" spans="2:2" x14ac:dyDescent="0.25">
      <c r="B65" s="41"/>
    </row>
    <row r="66" spans="2:2" x14ac:dyDescent="0.25">
      <c r="B66" s="15"/>
    </row>
    <row r="67" spans="2:2" x14ac:dyDescent="0.25">
      <c r="B67" s="41"/>
    </row>
    <row r="68" spans="2:2" x14ac:dyDescent="0.25">
      <c r="B68" s="14"/>
    </row>
    <row r="69" spans="2:2" x14ac:dyDescent="0.25">
      <c r="B69" s="15"/>
    </row>
    <row r="70" spans="2:2" x14ac:dyDescent="0.25">
      <c r="B70" s="41"/>
    </row>
    <row r="71" spans="2:2" x14ac:dyDescent="0.25">
      <c r="B71" s="14"/>
    </row>
    <row r="72" spans="2:2" x14ac:dyDescent="0.25">
      <c r="B72" s="15"/>
    </row>
    <row r="73" spans="2:2" x14ac:dyDescent="0.25">
      <c r="B73" s="15"/>
    </row>
    <row r="74" spans="2:2" x14ac:dyDescent="0.25">
      <c r="B74" s="10"/>
    </row>
    <row r="75" spans="2:2" x14ac:dyDescent="0.25">
      <c r="B75" s="9"/>
    </row>
    <row r="76" spans="2:2" x14ac:dyDescent="0.25">
      <c r="B76" s="9"/>
    </row>
    <row r="77" spans="2:2" x14ac:dyDescent="0.25">
      <c r="B77" s="9"/>
    </row>
    <row r="78" spans="2:2" x14ac:dyDescent="0.25">
      <c r="B78" s="9"/>
    </row>
    <row r="79" spans="2:2" x14ac:dyDescent="0.25">
      <c r="B79" s="10"/>
    </row>
    <row r="80" spans="2:2" x14ac:dyDescent="0.25">
      <c r="B80" s="6"/>
    </row>
    <row r="81" spans="2:10" x14ac:dyDescent="0.25">
      <c r="B81" s="6"/>
    </row>
    <row r="82" spans="2:10" ht="18.75" x14ac:dyDescent="0.3">
      <c r="B82" s="18" t="s">
        <v>121</v>
      </c>
      <c r="C82" s="19">
        <v>2014</v>
      </c>
      <c r="D82" s="19">
        <v>2015</v>
      </c>
      <c r="E82" s="19">
        <v>2016</v>
      </c>
      <c r="F82" s="19">
        <v>2017</v>
      </c>
      <c r="G82" s="19">
        <v>2018</v>
      </c>
      <c r="H82" s="19">
        <v>2019</v>
      </c>
      <c r="I82" s="19">
        <v>2020</v>
      </c>
      <c r="J82" s="19">
        <v>2021</v>
      </c>
    </row>
    <row r="83" spans="2:10" x14ac:dyDescent="0.25">
      <c r="B83" s="41" t="s">
        <v>66</v>
      </c>
      <c r="J83" s="161"/>
    </row>
    <row r="84" spans="2:10" x14ac:dyDescent="0.25">
      <c r="B84" s="14" t="s">
        <v>68</v>
      </c>
      <c r="C84" s="51">
        <v>73</v>
      </c>
      <c r="D84" s="51">
        <v>71</v>
      </c>
      <c r="E84" s="51">
        <v>49</v>
      </c>
      <c r="F84" s="51">
        <v>36</v>
      </c>
      <c r="G84" s="2">
        <v>25</v>
      </c>
      <c r="H84" s="2">
        <v>18</v>
      </c>
      <c r="I84" s="2">
        <v>9</v>
      </c>
      <c r="J84" s="2">
        <v>14</v>
      </c>
    </row>
    <row r="85" spans="2:10" x14ac:dyDescent="0.25">
      <c r="B85" s="15" t="s">
        <v>69</v>
      </c>
      <c r="C85" s="36">
        <f>C84/('Tabell 8'!C86*365)*100000</f>
        <v>14.962971769176686</v>
      </c>
      <c r="D85" s="36">
        <f>D84/('Tabell 8'!D86*365)*100000</f>
        <v>14.398264096610324</v>
      </c>
      <c r="E85" s="36">
        <f>E84/('Tabell 8'!E86*365)*100000</f>
        <v>10.2713523597908</v>
      </c>
      <c r="F85" s="36">
        <f>F84/('Tabell 8'!F86*365)*100000</f>
        <v>7.9927177460535956</v>
      </c>
      <c r="G85" s="36">
        <f>G84/('Tabell 8'!G86*365)*100000</f>
        <v>6.1895129843603405</v>
      </c>
      <c r="H85" s="36">
        <f>H84/('Tabell 8'!H86*365)*100000</f>
        <v>4.7509699897062321</v>
      </c>
      <c r="I85" s="36">
        <f>I84/('Tabell 8'!I86*365)*100000</f>
        <v>2.9754475982352293</v>
      </c>
      <c r="J85" s="36">
        <f>J84/('Tabell 8'!J86*365)*100000</f>
        <v>4.4189129474149356</v>
      </c>
    </row>
    <row r="86" spans="2:10" x14ac:dyDescent="0.25">
      <c r="B86" s="2"/>
      <c r="C86" s="2"/>
      <c r="D86" s="2"/>
      <c r="E86" s="2"/>
      <c r="F86" s="2"/>
      <c r="G86" s="2"/>
      <c r="H86" s="2"/>
      <c r="I86" s="2"/>
      <c r="J86" s="2"/>
    </row>
    <row r="87" spans="2:10" x14ac:dyDescent="0.25">
      <c r="B87" s="41" t="s">
        <v>67</v>
      </c>
      <c r="C87" s="2"/>
      <c r="D87" s="2"/>
      <c r="E87" s="2"/>
      <c r="F87" s="2"/>
      <c r="G87" s="2"/>
      <c r="H87" s="2"/>
      <c r="I87" s="2"/>
      <c r="J87" s="2"/>
    </row>
    <row r="88" spans="2:10" x14ac:dyDescent="0.25">
      <c r="B88" s="14" t="s">
        <v>68</v>
      </c>
      <c r="C88" s="51">
        <v>3</v>
      </c>
      <c r="D88" s="51">
        <v>3</v>
      </c>
      <c r="E88" s="51">
        <v>1</v>
      </c>
      <c r="F88" s="51">
        <v>2</v>
      </c>
      <c r="G88" s="2">
        <v>0</v>
      </c>
      <c r="H88" s="2">
        <v>1</v>
      </c>
      <c r="I88" s="2">
        <v>0</v>
      </c>
      <c r="J88" s="2">
        <v>1</v>
      </c>
    </row>
    <row r="89" spans="2:10" x14ac:dyDescent="0.25">
      <c r="B89" s="15" t="s">
        <v>70</v>
      </c>
      <c r="C89" s="36">
        <f>C88/(('Tabell 8'!C91+'Tabell 8'!C96)*365)*100000</f>
        <v>0.34549435059154393</v>
      </c>
      <c r="D89" s="36">
        <f>D88/(('Tabell 8'!D91+'Tabell 8'!D96)*365)*100000</f>
        <v>0.34332406358361656</v>
      </c>
      <c r="E89" s="36">
        <f>E88/(('Tabell 8'!E91+'Tabell 8'!E96)*365)*100000</f>
        <v>0.10773598220201575</v>
      </c>
      <c r="F89" s="36">
        <f>F88/(('Tabell 8'!F91+'Tabell 8'!F96)*365)*100000</f>
        <v>0.22670467748425818</v>
      </c>
      <c r="G89" s="36">
        <f>G88/(('Tabell 8'!G91+'Tabell 8'!G96)*365)*100000</f>
        <v>0</v>
      </c>
      <c r="H89" s="36">
        <f>H88/(('Tabell 8'!H91+'Tabell 8'!H96)*365)*100000</f>
        <v>0.12414926714687602</v>
      </c>
      <c r="I89" s="36">
        <f>I88/(('Tabell 8'!I91+'Tabell 8'!I96)*365)*100000</f>
        <v>0</v>
      </c>
      <c r="J89" s="36">
        <f>J88/(('Tabell 8'!J91+'Tabell 8'!J96)*365)*100000</f>
        <v>0.12441989225237332</v>
      </c>
    </row>
    <row r="90" spans="2:10" x14ac:dyDescent="0.25">
      <c r="B90" s="15"/>
    </row>
    <row r="91" spans="2:10" x14ac:dyDescent="0.25">
      <c r="B91" s="41"/>
    </row>
    <row r="92" spans="2:10" x14ac:dyDescent="0.25">
      <c r="B92" s="15"/>
    </row>
    <row r="93" spans="2:10" x14ac:dyDescent="0.25">
      <c r="B93" s="41"/>
    </row>
    <row r="94" spans="2:10" x14ac:dyDescent="0.25">
      <c r="B94" s="14"/>
    </row>
    <row r="95" spans="2:10" x14ac:dyDescent="0.25">
      <c r="B95" s="15"/>
    </row>
    <row r="96" spans="2:10" x14ac:dyDescent="0.25">
      <c r="B96" s="41"/>
    </row>
    <row r="97" spans="2:10" x14ac:dyDescent="0.25">
      <c r="B97" s="14"/>
    </row>
    <row r="98" spans="2:10" x14ac:dyDescent="0.25">
      <c r="B98" s="15"/>
    </row>
    <row r="99" spans="2:10" x14ac:dyDescent="0.25">
      <c r="B99" s="15"/>
    </row>
    <row r="100" spans="2:10" x14ac:dyDescent="0.25">
      <c r="B100" s="10"/>
    </row>
    <row r="101" spans="2:10" x14ac:dyDescent="0.25">
      <c r="B101" s="9"/>
    </row>
    <row r="102" spans="2:10" x14ac:dyDescent="0.25">
      <c r="B102" s="9"/>
    </row>
    <row r="103" spans="2:10" x14ac:dyDescent="0.25">
      <c r="B103" s="9"/>
    </row>
    <row r="104" spans="2:10" x14ac:dyDescent="0.25">
      <c r="B104" s="9"/>
    </row>
    <row r="105" spans="2:10" x14ac:dyDescent="0.25">
      <c r="B105" s="10"/>
    </row>
    <row r="106" spans="2:10" x14ac:dyDescent="0.25">
      <c r="B106" s="6"/>
    </row>
    <row r="107" spans="2:10" x14ac:dyDescent="0.25">
      <c r="B107" s="6"/>
    </row>
    <row r="108" spans="2:10" ht="18.75" x14ac:dyDescent="0.3">
      <c r="B108" s="18" t="s">
        <v>122</v>
      </c>
      <c r="C108" s="19">
        <v>2014</v>
      </c>
      <c r="D108" s="19">
        <v>2015</v>
      </c>
      <c r="E108" s="19">
        <v>2016</v>
      </c>
      <c r="F108" s="19">
        <v>2017</v>
      </c>
      <c r="G108" s="19">
        <v>2018</v>
      </c>
      <c r="H108" s="19">
        <v>2019</v>
      </c>
      <c r="I108" s="19">
        <v>2020</v>
      </c>
      <c r="J108" s="19">
        <v>2021</v>
      </c>
    </row>
    <row r="109" spans="2:10" x14ac:dyDescent="0.25">
      <c r="B109" s="41" t="s">
        <v>66</v>
      </c>
      <c r="C109" s="13"/>
      <c r="D109" s="13"/>
      <c r="E109" s="13"/>
      <c r="F109" s="13"/>
      <c r="G109" s="13"/>
      <c r="H109" s="13"/>
      <c r="I109" s="13"/>
      <c r="J109" s="13"/>
    </row>
    <row r="110" spans="2:10" x14ac:dyDescent="0.25">
      <c r="B110" s="14" t="s">
        <v>68</v>
      </c>
      <c r="C110" s="2">
        <v>13</v>
      </c>
      <c r="D110" s="2">
        <v>13</v>
      </c>
      <c r="E110" s="2">
        <v>15</v>
      </c>
      <c r="F110" s="2">
        <v>24</v>
      </c>
      <c r="G110" s="2">
        <v>31</v>
      </c>
      <c r="H110" s="2">
        <v>28</v>
      </c>
      <c r="I110" s="21">
        <v>46</v>
      </c>
      <c r="J110" s="2">
        <v>62</v>
      </c>
    </row>
    <row r="111" spans="2:10" x14ac:dyDescent="0.25">
      <c r="B111" s="15" t="s">
        <v>69</v>
      </c>
      <c r="C111" s="36">
        <f>100000*C110/('Tabell 8'!C112*365)</f>
        <v>4.8065368901706318</v>
      </c>
      <c r="D111" s="36">
        <f>100000*D110/('Tabell 8'!D112*365)</f>
        <v>5.3964300539643002</v>
      </c>
      <c r="E111" s="36">
        <f>100000*E110/('Tabell 8'!E112*365)</f>
        <v>6.0613407685780096</v>
      </c>
      <c r="F111" s="36">
        <f>100000*F110/('Tabell 8'!F112*365)</f>
        <v>9.7847358121330732</v>
      </c>
      <c r="G111" s="36">
        <f>100000*G110/('Tabell 8'!G112*365)</f>
        <v>11.698554662440092</v>
      </c>
      <c r="H111" s="36">
        <f>100000*H110/('Tabell 8'!H112*365)</f>
        <v>9.3437672067141637</v>
      </c>
      <c r="I111" s="36">
        <f>100000*I110/('Tabell 8'!I112*365)</f>
        <v>14.353917683402502</v>
      </c>
      <c r="J111" s="36">
        <f>100000*J110/('Tabell 8'!J112*365)</f>
        <v>15.275450872178968</v>
      </c>
    </row>
    <row r="112" spans="2:10" x14ac:dyDescent="0.25">
      <c r="B112" s="2"/>
      <c r="C112" s="2"/>
      <c r="D112" s="2"/>
      <c r="E112" s="2"/>
      <c r="F112" s="2"/>
      <c r="G112" s="36"/>
      <c r="H112" s="36"/>
      <c r="I112" s="36"/>
      <c r="J112" s="36"/>
    </row>
    <row r="113" spans="2:10" x14ac:dyDescent="0.25">
      <c r="B113" s="41" t="s">
        <v>67</v>
      </c>
      <c r="C113" s="2"/>
      <c r="D113" s="2"/>
      <c r="E113" s="2"/>
      <c r="F113" s="2"/>
      <c r="G113" s="37"/>
      <c r="H113" s="37"/>
      <c r="I113" s="37"/>
      <c r="J113" s="37"/>
    </row>
    <row r="114" spans="2:10" x14ac:dyDescent="0.25">
      <c r="B114" s="14" t="s">
        <v>68</v>
      </c>
      <c r="C114" s="2">
        <v>6</v>
      </c>
      <c r="D114" s="2">
        <v>0</v>
      </c>
      <c r="E114" s="2">
        <v>0</v>
      </c>
      <c r="F114" s="2">
        <v>2</v>
      </c>
      <c r="G114" s="101">
        <v>1</v>
      </c>
      <c r="H114" s="101">
        <v>0</v>
      </c>
      <c r="I114" s="132">
        <v>0</v>
      </c>
      <c r="J114" s="101">
        <v>0</v>
      </c>
    </row>
    <row r="115" spans="2:10" x14ac:dyDescent="0.25">
      <c r="B115" s="15" t="s">
        <v>70</v>
      </c>
      <c r="C115" s="36">
        <f>C114/(('Tabell 8'!C117+'Tabell 8'!C122)*365)*100000</f>
        <v>0.34672761367609284</v>
      </c>
      <c r="D115" s="36">
        <f>D114/(('Tabell 8'!D117+'Tabell 8'!D122)*365)*100000</f>
        <v>0</v>
      </c>
      <c r="E115" s="36">
        <f>E114/(('Tabell 8'!E117+'Tabell 8'!E122)*365)*100000</f>
        <v>0</v>
      </c>
      <c r="F115" s="36">
        <f>F114/(('Tabell 8'!F117+'Tabell 8'!F122)*365)*100000</f>
        <v>0.1145576348339066</v>
      </c>
      <c r="G115" s="36">
        <f>G114/(('Tabell 8'!G117+'Tabell 8'!G122)*365)*100000</f>
        <v>5.347653779739072E-2</v>
      </c>
      <c r="H115" s="36">
        <f>H114/(('Tabell 8'!H117+'Tabell 8'!H122)*365)*100000</f>
        <v>0</v>
      </c>
      <c r="I115" s="36">
        <f>I114/(('Tabell 8'!I117+'Tabell 8'!I122)*365)*100000</f>
        <v>0</v>
      </c>
      <c r="J115" s="36">
        <f>J114/(('Tabell 8'!J117+'Tabell 8'!J122)*365)*100000</f>
        <v>0</v>
      </c>
    </row>
    <row r="116" spans="2:10" x14ac:dyDescent="0.25">
      <c r="B116" s="15"/>
      <c r="C116" s="43"/>
      <c r="D116" s="43"/>
      <c r="E116" s="43"/>
      <c r="F116" s="43"/>
      <c r="G116" s="2"/>
      <c r="H116" s="2"/>
    </row>
    <row r="117" spans="2:10" x14ac:dyDescent="0.25">
      <c r="B117" s="41"/>
      <c r="C117" s="2"/>
      <c r="D117" s="2"/>
      <c r="E117" s="2"/>
      <c r="F117" s="2"/>
      <c r="G117" s="38"/>
      <c r="H117" s="38"/>
    </row>
    <row r="118" spans="2:10" x14ac:dyDescent="0.25">
      <c r="B118" s="15"/>
      <c r="C118" s="36"/>
      <c r="D118" s="36"/>
      <c r="E118" s="36"/>
      <c r="F118" s="36"/>
      <c r="G118" s="38"/>
      <c r="H118" s="38"/>
    </row>
    <row r="119" spans="2:10" x14ac:dyDescent="0.25">
      <c r="B119" s="41"/>
      <c r="C119" s="2"/>
      <c r="D119" s="2"/>
      <c r="E119" s="2"/>
      <c r="F119" s="2"/>
      <c r="G119" s="38"/>
      <c r="H119" s="38"/>
    </row>
    <row r="120" spans="2:10" x14ac:dyDescent="0.25">
      <c r="B120" s="14"/>
      <c r="C120" s="2"/>
      <c r="D120" s="2"/>
      <c r="E120" s="2"/>
      <c r="F120" s="44"/>
      <c r="G120" s="36"/>
      <c r="H120" s="36"/>
    </row>
    <row r="121" spans="2:10" x14ac:dyDescent="0.25">
      <c r="B121" s="15"/>
      <c r="C121" s="36"/>
      <c r="D121" s="36"/>
      <c r="E121" s="36"/>
      <c r="F121" s="36"/>
      <c r="G121" s="36"/>
      <c r="H121" s="36"/>
    </row>
    <row r="122" spans="2:10" x14ac:dyDescent="0.25">
      <c r="B122" s="41"/>
      <c r="C122" s="2"/>
      <c r="D122" s="2"/>
      <c r="E122" s="2"/>
      <c r="F122" s="2"/>
      <c r="G122" s="38"/>
      <c r="H122" s="38"/>
    </row>
    <row r="123" spans="2:10" x14ac:dyDescent="0.25">
      <c r="B123" s="14"/>
      <c r="C123" s="42"/>
      <c r="D123" s="42"/>
      <c r="E123" s="42"/>
      <c r="F123" s="42"/>
      <c r="G123" s="38"/>
      <c r="H123" s="38"/>
    </row>
    <row r="124" spans="2:10" x14ac:dyDescent="0.25">
      <c r="B124" s="15"/>
      <c r="C124" s="36"/>
      <c r="D124" s="36"/>
      <c r="E124" s="36"/>
      <c r="F124" s="36"/>
      <c r="G124" s="36"/>
      <c r="H124" s="36"/>
    </row>
    <row r="125" spans="2:10" x14ac:dyDescent="0.25">
      <c r="B125" s="15"/>
      <c r="C125" s="36"/>
      <c r="D125" s="36"/>
      <c r="E125" s="36"/>
      <c r="F125" s="36"/>
      <c r="G125" s="36"/>
      <c r="H125" s="36"/>
    </row>
    <row r="126" spans="2:10" x14ac:dyDescent="0.25">
      <c r="B126" s="10"/>
      <c r="C126" s="22"/>
      <c r="D126" s="22"/>
      <c r="E126" s="22"/>
      <c r="F126" s="22"/>
      <c r="G126" s="22"/>
      <c r="H126" s="22"/>
    </row>
    <row r="127" spans="2:10" x14ac:dyDescent="0.25">
      <c r="B127" s="9"/>
      <c r="C127" s="22"/>
      <c r="D127" s="22"/>
      <c r="E127" s="22"/>
      <c r="F127" s="22"/>
      <c r="G127" s="22"/>
      <c r="H127" s="22"/>
    </row>
    <row r="128" spans="2:10" x14ac:dyDescent="0.25">
      <c r="B128" s="9"/>
      <c r="C128" s="22"/>
      <c r="D128" s="22"/>
      <c r="E128" s="22"/>
      <c r="F128" s="22"/>
      <c r="G128" s="22"/>
      <c r="H128" s="22"/>
    </row>
    <row r="129" spans="2:2" x14ac:dyDescent="0.25">
      <c r="B129" s="9"/>
    </row>
    <row r="130" spans="2:2" x14ac:dyDescent="0.25">
      <c r="B130" s="9"/>
    </row>
    <row r="131" spans="2:2" x14ac:dyDescent="0.25">
      <c r="B131" s="10"/>
    </row>
    <row r="132" spans="2:2" x14ac:dyDescent="0.25">
      <c r="B132" s="6"/>
    </row>
    <row r="133" spans="2:2" x14ac:dyDescent="0.25">
      <c r="B133" s="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57"/>
  <sheetViews>
    <sheetView zoomScaleNormal="100" workbookViewId="0">
      <pane ySplit="2" topLeftCell="A72"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9</v>
      </c>
    </row>
    <row r="3" spans="2:10" ht="18.75" x14ac:dyDescent="0.3">
      <c r="B3" s="4"/>
    </row>
    <row r="4" spans="2:10" ht="18.75" x14ac:dyDescent="0.3">
      <c r="B4" s="18" t="s">
        <v>347</v>
      </c>
      <c r="C4" s="19">
        <v>2014</v>
      </c>
      <c r="D4" s="19">
        <v>2015</v>
      </c>
      <c r="E4" s="19">
        <v>2016</v>
      </c>
      <c r="F4" s="19">
        <v>2017</v>
      </c>
      <c r="G4" s="19">
        <v>2018</v>
      </c>
      <c r="H4" s="19">
        <v>2019</v>
      </c>
      <c r="I4" s="152">
        <v>2020</v>
      </c>
      <c r="J4" s="19">
        <v>2021</v>
      </c>
    </row>
    <row r="5" spans="2:10" x14ac:dyDescent="0.25">
      <c r="B5" s="2" t="s">
        <v>71</v>
      </c>
      <c r="C5" s="42">
        <v>2</v>
      </c>
      <c r="D5" s="44">
        <v>1</v>
      </c>
      <c r="E5" s="42">
        <v>8</v>
      </c>
      <c r="F5" s="42">
        <v>4</v>
      </c>
      <c r="G5" s="21">
        <v>5</v>
      </c>
      <c r="H5" s="21">
        <v>9</v>
      </c>
      <c r="I5" s="153">
        <v>4</v>
      </c>
      <c r="J5" s="2">
        <v>5</v>
      </c>
    </row>
    <row r="6" spans="2:10" x14ac:dyDescent="0.25">
      <c r="B6" s="2" t="s">
        <v>72</v>
      </c>
      <c r="C6" s="126">
        <v>1</v>
      </c>
      <c r="D6" s="126">
        <v>2</v>
      </c>
      <c r="E6" s="126">
        <v>3</v>
      </c>
      <c r="F6" s="126">
        <v>5</v>
      </c>
      <c r="G6" s="153">
        <v>2</v>
      </c>
      <c r="H6" s="153">
        <v>2</v>
      </c>
      <c r="I6" s="153">
        <v>0</v>
      </c>
      <c r="J6" s="2">
        <v>4</v>
      </c>
    </row>
    <row r="7" spans="2:10" x14ac:dyDescent="0.25">
      <c r="B7" s="15"/>
      <c r="C7" s="22"/>
      <c r="D7" s="22"/>
      <c r="E7" s="22"/>
      <c r="F7" s="22"/>
      <c r="G7" s="22"/>
      <c r="H7" s="22"/>
      <c r="I7" s="22"/>
      <c r="J7" s="151"/>
    </row>
    <row r="8" spans="2:10" x14ac:dyDescent="0.25">
      <c r="B8" s="91"/>
      <c r="C8" s="22"/>
      <c r="D8" s="22"/>
      <c r="E8" s="22"/>
      <c r="F8" s="22"/>
      <c r="G8" s="22"/>
      <c r="H8" s="22"/>
      <c r="I8" s="22"/>
      <c r="J8" s="151"/>
    </row>
    <row r="9" spans="2:10" x14ac:dyDescent="0.25">
      <c r="B9" s="6"/>
      <c r="J9" s="161"/>
    </row>
    <row r="10" spans="2:10" x14ac:dyDescent="0.25">
      <c r="B10" s="6"/>
      <c r="J10" s="161"/>
    </row>
    <row r="11" spans="2:10" ht="18.75" x14ac:dyDescent="0.3">
      <c r="B11" s="18" t="s">
        <v>123</v>
      </c>
      <c r="C11" s="19">
        <v>2014</v>
      </c>
      <c r="D11" s="19">
        <v>2015</v>
      </c>
      <c r="E11" s="19">
        <v>2016</v>
      </c>
      <c r="F11" s="19">
        <v>2017</v>
      </c>
      <c r="G11" s="19">
        <v>2018</v>
      </c>
      <c r="H11" s="19">
        <v>2019</v>
      </c>
      <c r="I11" s="19">
        <v>2020</v>
      </c>
      <c r="J11" s="19">
        <v>2021</v>
      </c>
    </row>
    <row r="12" spans="2:10" x14ac:dyDescent="0.25">
      <c r="B12" s="2" t="s">
        <v>71</v>
      </c>
      <c r="C12" s="2">
        <v>2</v>
      </c>
      <c r="D12" s="2">
        <v>2</v>
      </c>
      <c r="E12" s="2">
        <v>2</v>
      </c>
      <c r="F12" s="42">
        <v>2</v>
      </c>
      <c r="G12" s="2">
        <v>2</v>
      </c>
      <c r="H12" s="21">
        <v>1</v>
      </c>
      <c r="I12" s="2">
        <v>4</v>
      </c>
      <c r="J12" s="21">
        <v>5</v>
      </c>
    </row>
    <row r="13" spans="2:10" x14ac:dyDescent="0.25">
      <c r="B13" s="2" t="s">
        <v>72</v>
      </c>
      <c r="C13" s="2">
        <v>7</v>
      </c>
      <c r="D13" s="2">
        <v>1</v>
      </c>
      <c r="E13" s="2">
        <v>2</v>
      </c>
      <c r="F13" s="2">
        <v>0</v>
      </c>
      <c r="G13" s="2">
        <v>4</v>
      </c>
      <c r="H13" s="21">
        <v>5</v>
      </c>
      <c r="I13" s="2">
        <v>0</v>
      </c>
      <c r="J13" s="21">
        <v>1</v>
      </c>
    </row>
    <row r="14" spans="2:10" x14ac:dyDescent="0.25">
      <c r="B14" s="15"/>
      <c r="J14" s="161"/>
    </row>
    <row r="15" spans="2:10" x14ac:dyDescent="0.25">
      <c r="B15" s="46"/>
      <c r="J15" s="161"/>
    </row>
    <row r="16" spans="2:10" x14ac:dyDescent="0.25">
      <c r="B16" s="6"/>
      <c r="J16" s="161"/>
    </row>
    <row r="17" spans="2:10" x14ac:dyDescent="0.25">
      <c r="B17" s="6"/>
      <c r="J17" s="161"/>
    </row>
    <row r="18" spans="2:10" ht="18.75" x14ac:dyDescent="0.3">
      <c r="B18" s="18" t="s">
        <v>124</v>
      </c>
      <c r="C18" s="19">
        <v>2014</v>
      </c>
      <c r="D18" s="19">
        <v>2015</v>
      </c>
      <c r="E18" s="19">
        <v>2016</v>
      </c>
      <c r="F18" s="19">
        <v>2017</v>
      </c>
      <c r="G18" s="19">
        <v>2018</v>
      </c>
      <c r="H18" s="19">
        <v>2019</v>
      </c>
      <c r="I18" s="19">
        <v>2020</v>
      </c>
      <c r="J18" s="19">
        <v>2021</v>
      </c>
    </row>
    <row r="19" spans="2:10" x14ac:dyDescent="0.25">
      <c r="B19" s="2" t="s">
        <v>71</v>
      </c>
      <c r="C19" s="42">
        <v>0</v>
      </c>
      <c r="D19" s="42">
        <v>0</v>
      </c>
      <c r="E19" s="42">
        <v>0</v>
      </c>
      <c r="F19" s="42">
        <v>1</v>
      </c>
      <c r="G19" s="1">
        <v>1</v>
      </c>
      <c r="H19" s="21">
        <v>1</v>
      </c>
      <c r="I19" s="2">
        <v>0</v>
      </c>
      <c r="J19" s="21">
        <v>0</v>
      </c>
    </row>
    <row r="20" spans="2:10" x14ac:dyDescent="0.25">
      <c r="B20" s="2" t="s">
        <v>72</v>
      </c>
      <c r="C20" s="100">
        <v>0</v>
      </c>
      <c r="D20" s="100">
        <v>0</v>
      </c>
      <c r="E20" s="100">
        <v>0</v>
      </c>
      <c r="F20" s="100">
        <v>0</v>
      </c>
      <c r="G20" s="2">
        <v>0</v>
      </c>
      <c r="H20" s="21">
        <v>1</v>
      </c>
      <c r="I20" s="2">
        <v>0</v>
      </c>
      <c r="J20" s="21">
        <v>1</v>
      </c>
    </row>
    <row r="21" spans="2:10" x14ac:dyDescent="0.25">
      <c r="B21" s="15"/>
      <c r="J21" s="161"/>
    </row>
    <row r="22" spans="2:10" x14ac:dyDescent="0.25">
      <c r="B22" s="46"/>
      <c r="J22" s="161"/>
    </row>
    <row r="23" spans="2:10" x14ac:dyDescent="0.25">
      <c r="B23" s="6"/>
      <c r="J23" s="161"/>
    </row>
    <row r="24" spans="2:10" x14ac:dyDescent="0.25">
      <c r="B24" s="6"/>
      <c r="J24" s="161"/>
    </row>
    <row r="25" spans="2:10" ht="18.75" x14ac:dyDescent="0.3">
      <c r="B25" s="18" t="s">
        <v>125</v>
      </c>
      <c r="C25" s="19">
        <v>2014</v>
      </c>
      <c r="D25" s="19">
        <v>2015</v>
      </c>
      <c r="E25" s="19">
        <v>2016</v>
      </c>
      <c r="F25" s="19">
        <v>2017</v>
      </c>
      <c r="G25" s="19">
        <v>2018</v>
      </c>
      <c r="H25" s="19">
        <v>2019</v>
      </c>
      <c r="I25" s="19">
        <v>2020</v>
      </c>
      <c r="J25" s="19">
        <v>2021</v>
      </c>
    </row>
    <row r="26" spans="2:10" x14ac:dyDescent="0.25">
      <c r="B26" s="2" t="s">
        <v>71</v>
      </c>
      <c r="C26" s="2">
        <v>6</v>
      </c>
      <c r="D26" s="2">
        <v>2</v>
      </c>
      <c r="E26" s="2">
        <v>4</v>
      </c>
      <c r="F26" s="2">
        <v>3</v>
      </c>
      <c r="G26" s="2">
        <v>1</v>
      </c>
      <c r="H26" s="21">
        <v>6</v>
      </c>
      <c r="I26" s="2">
        <v>2</v>
      </c>
      <c r="J26" s="21">
        <v>5</v>
      </c>
    </row>
    <row r="27" spans="2:10" x14ac:dyDescent="0.25">
      <c r="B27" s="2" t="s">
        <v>72</v>
      </c>
      <c r="C27" s="2">
        <v>0</v>
      </c>
      <c r="D27" s="2">
        <v>3</v>
      </c>
      <c r="E27" s="2">
        <v>1</v>
      </c>
      <c r="F27" s="2">
        <v>2</v>
      </c>
      <c r="G27" s="2">
        <v>3</v>
      </c>
      <c r="H27" s="21">
        <v>2</v>
      </c>
      <c r="I27" s="2">
        <v>0</v>
      </c>
      <c r="J27" s="21">
        <v>2</v>
      </c>
    </row>
    <row r="28" spans="2:10" x14ac:dyDescent="0.25">
      <c r="B28" s="15"/>
      <c r="J28" s="161"/>
    </row>
    <row r="29" spans="2:10" x14ac:dyDescent="0.25">
      <c r="B29" s="93"/>
      <c r="J29" s="161"/>
    </row>
    <row r="30" spans="2:10" x14ac:dyDescent="0.25">
      <c r="B30" s="6"/>
      <c r="J30" s="161"/>
    </row>
    <row r="31" spans="2:10" x14ac:dyDescent="0.25">
      <c r="B31" s="6"/>
      <c r="J31" s="161"/>
    </row>
    <row r="32" spans="2:10" ht="18.75" x14ac:dyDescent="0.3">
      <c r="B32" s="18" t="s">
        <v>126</v>
      </c>
      <c r="C32" s="19">
        <v>2014</v>
      </c>
      <c r="D32" s="19">
        <v>2015</v>
      </c>
      <c r="E32" s="19">
        <v>2016</v>
      </c>
      <c r="F32" s="19">
        <v>2017</v>
      </c>
      <c r="G32" s="19">
        <v>2018</v>
      </c>
      <c r="H32" s="19">
        <v>2019</v>
      </c>
      <c r="I32" s="19">
        <v>2020</v>
      </c>
      <c r="J32" s="19">
        <v>2021</v>
      </c>
    </row>
    <row r="33" spans="2:10" x14ac:dyDescent="0.25">
      <c r="B33" s="2" t="s">
        <v>71</v>
      </c>
      <c r="C33" s="2">
        <v>4</v>
      </c>
      <c r="D33" s="2">
        <v>1</v>
      </c>
      <c r="E33" s="2">
        <v>1</v>
      </c>
      <c r="F33" s="2">
        <v>1</v>
      </c>
      <c r="G33" s="13">
        <v>2</v>
      </c>
      <c r="H33" s="21">
        <v>1</v>
      </c>
      <c r="I33" s="28">
        <v>2</v>
      </c>
      <c r="J33" s="21">
        <v>2</v>
      </c>
    </row>
    <row r="34" spans="2:10" x14ac:dyDescent="0.25">
      <c r="B34" s="2" t="s">
        <v>72</v>
      </c>
      <c r="C34" s="2">
        <v>3</v>
      </c>
      <c r="D34" s="2">
        <v>2</v>
      </c>
      <c r="E34" s="2">
        <v>2</v>
      </c>
      <c r="F34" s="2">
        <v>3</v>
      </c>
      <c r="G34" s="2">
        <v>4</v>
      </c>
      <c r="H34" s="21">
        <v>2</v>
      </c>
      <c r="I34" s="21">
        <v>2</v>
      </c>
      <c r="J34" s="21">
        <v>2</v>
      </c>
    </row>
    <row r="35" spans="2:10" x14ac:dyDescent="0.25">
      <c r="B35" s="15"/>
      <c r="C35" s="45"/>
      <c r="D35" s="45"/>
      <c r="E35" s="45"/>
      <c r="F35" s="45"/>
      <c r="G35" s="13"/>
      <c r="H35" s="13"/>
    </row>
    <row r="36" spans="2:10" x14ac:dyDescent="0.25">
      <c r="B36" s="46"/>
      <c r="C36" s="2"/>
      <c r="D36" s="2"/>
      <c r="E36" s="2"/>
      <c r="F36" s="2"/>
      <c r="G36" s="36"/>
      <c r="H36" s="36"/>
    </row>
    <row r="37" spans="2:10" x14ac:dyDescent="0.25">
      <c r="B37" s="41"/>
      <c r="C37" s="2"/>
      <c r="D37" s="2"/>
      <c r="E37" s="2"/>
      <c r="F37" s="2"/>
      <c r="G37" s="37"/>
      <c r="H37" s="37"/>
    </row>
    <row r="38" spans="2:10" x14ac:dyDescent="0.25">
      <c r="B38" s="14"/>
      <c r="C38" s="2"/>
      <c r="D38" s="2"/>
      <c r="E38" s="2"/>
      <c r="F38" s="2"/>
      <c r="G38" s="36"/>
      <c r="H38" s="36"/>
    </row>
    <row r="39" spans="2:10" x14ac:dyDescent="0.25">
      <c r="B39" s="15"/>
      <c r="C39" s="45"/>
      <c r="D39" s="45"/>
      <c r="E39" s="45"/>
      <c r="F39" s="45"/>
      <c r="G39" s="2"/>
      <c r="H39" s="2"/>
    </row>
    <row r="40" spans="2:10" x14ac:dyDescent="0.25">
      <c r="B40" s="15"/>
      <c r="C40" s="43"/>
      <c r="D40" s="43"/>
      <c r="E40" s="43"/>
      <c r="F40" s="43"/>
      <c r="G40" s="2"/>
      <c r="H40" s="2"/>
    </row>
    <row r="41" spans="2:10" x14ac:dyDescent="0.25">
      <c r="B41" s="41"/>
      <c r="C41" s="2"/>
      <c r="D41" s="2"/>
      <c r="E41" s="2"/>
      <c r="F41" s="2"/>
      <c r="G41" s="38"/>
      <c r="H41" s="38"/>
    </row>
    <row r="42" spans="2:10" x14ac:dyDescent="0.25">
      <c r="B42" s="15"/>
      <c r="C42" s="36"/>
      <c r="D42" s="36"/>
      <c r="E42" s="36"/>
      <c r="F42" s="36"/>
      <c r="G42" s="38"/>
      <c r="H42" s="38"/>
    </row>
    <row r="43" spans="2:10" x14ac:dyDescent="0.25">
      <c r="B43" s="41"/>
      <c r="C43" s="2"/>
      <c r="D43" s="2"/>
      <c r="E43" s="2"/>
      <c r="F43" s="2"/>
      <c r="G43" s="38"/>
      <c r="H43" s="38"/>
    </row>
    <row r="44" spans="2:10" x14ac:dyDescent="0.25">
      <c r="B44" s="14"/>
      <c r="C44" s="2"/>
      <c r="D44" s="2"/>
      <c r="E44" s="2"/>
      <c r="F44" s="44"/>
      <c r="G44" s="36"/>
      <c r="H44" s="36"/>
    </row>
    <row r="45" spans="2:10" x14ac:dyDescent="0.25">
      <c r="B45" s="15"/>
      <c r="C45" s="36"/>
      <c r="D45" s="36"/>
      <c r="E45" s="36"/>
      <c r="F45" s="36"/>
      <c r="G45" s="36"/>
      <c r="H45" s="36"/>
    </row>
    <row r="46" spans="2:10" x14ac:dyDescent="0.25">
      <c r="B46" s="41"/>
      <c r="C46" s="2"/>
      <c r="D46" s="2"/>
      <c r="E46" s="2"/>
      <c r="F46" s="2"/>
      <c r="G46" s="38"/>
      <c r="H46" s="38"/>
    </row>
    <row r="47" spans="2:10" x14ac:dyDescent="0.25">
      <c r="B47" s="14"/>
      <c r="C47" s="42"/>
      <c r="D47" s="42"/>
      <c r="E47" s="42"/>
      <c r="F47" s="42"/>
      <c r="G47" s="38"/>
      <c r="H47" s="38"/>
    </row>
    <row r="48" spans="2:10" x14ac:dyDescent="0.25">
      <c r="B48" s="15"/>
      <c r="C48" s="36"/>
      <c r="D48" s="36"/>
      <c r="E48" s="36"/>
      <c r="F48" s="36"/>
      <c r="G48" s="36"/>
      <c r="H48" s="36"/>
    </row>
    <row r="49" spans="2:8" x14ac:dyDescent="0.25">
      <c r="B49" s="15"/>
      <c r="C49" s="36"/>
      <c r="D49" s="36"/>
      <c r="E49" s="36"/>
      <c r="F49" s="36"/>
      <c r="G49" s="36"/>
      <c r="H49" s="36"/>
    </row>
    <row r="50" spans="2:8" x14ac:dyDescent="0.25">
      <c r="B50" s="10"/>
      <c r="C50" s="22"/>
      <c r="D50" s="22"/>
      <c r="E50" s="22"/>
      <c r="F50" s="22"/>
      <c r="G50" s="22"/>
      <c r="H50" s="22"/>
    </row>
    <row r="51" spans="2:8" x14ac:dyDescent="0.25">
      <c r="B51" s="9"/>
      <c r="C51" s="22"/>
      <c r="D51" s="22"/>
      <c r="E51" s="22"/>
      <c r="F51" s="22"/>
      <c r="G51" s="22"/>
      <c r="H51" s="22"/>
    </row>
    <row r="52" spans="2:8" x14ac:dyDescent="0.25">
      <c r="B52" s="9"/>
      <c r="C52" s="22"/>
      <c r="D52" s="22"/>
      <c r="E52" s="22"/>
      <c r="F52" s="22"/>
      <c r="G52" s="22"/>
      <c r="H52" s="22"/>
    </row>
    <row r="53" spans="2:8" x14ac:dyDescent="0.25">
      <c r="B53" s="9"/>
    </row>
    <row r="54" spans="2:8" x14ac:dyDescent="0.25">
      <c r="B54" s="9"/>
    </row>
    <row r="55" spans="2:8" x14ac:dyDescent="0.25">
      <c r="B55" s="10"/>
    </row>
    <row r="56" spans="2:8" x14ac:dyDescent="0.25">
      <c r="B56" s="6"/>
    </row>
    <row r="57" spans="2:8" x14ac:dyDescent="0.25">
      <c r="B57" s="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33"/>
  <sheetViews>
    <sheetView zoomScaleNormal="100" workbookViewId="0">
      <pane ySplit="2" topLeftCell="A6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10</v>
      </c>
    </row>
    <row r="3" spans="2:10" ht="18.75" x14ac:dyDescent="0.3">
      <c r="B3" s="4"/>
    </row>
    <row r="4" spans="2:10" ht="18.75" x14ac:dyDescent="0.3">
      <c r="B4" s="18" t="s">
        <v>127</v>
      </c>
      <c r="C4" s="19">
        <v>2014</v>
      </c>
      <c r="D4" s="19">
        <v>2015</v>
      </c>
      <c r="E4" s="19">
        <v>2016</v>
      </c>
      <c r="F4" s="19">
        <v>2017</v>
      </c>
      <c r="G4" s="19">
        <v>2018</v>
      </c>
      <c r="H4" s="19">
        <v>2019</v>
      </c>
      <c r="I4" s="19">
        <v>2020</v>
      </c>
      <c r="J4" s="19">
        <v>2021</v>
      </c>
    </row>
    <row r="5" spans="2:10" x14ac:dyDescent="0.25">
      <c r="B5" s="41" t="s">
        <v>73</v>
      </c>
      <c r="C5" s="22"/>
      <c r="D5" s="22"/>
      <c r="E5" s="22"/>
      <c r="F5" s="22"/>
      <c r="G5" s="22"/>
      <c r="H5" s="22"/>
      <c r="I5" s="22"/>
      <c r="J5" s="151"/>
    </row>
    <row r="6" spans="2:10" x14ac:dyDescent="0.25">
      <c r="B6" s="47" t="s">
        <v>77</v>
      </c>
      <c r="C6" s="12">
        <v>9</v>
      </c>
      <c r="D6" s="12">
        <v>9</v>
      </c>
      <c r="E6" s="12">
        <v>9</v>
      </c>
      <c r="F6" s="12">
        <v>9</v>
      </c>
      <c r="G6" s="21">
        <v>9</v>
      </c>
      <c r="H6" s="21">
        <v>8</v>
      </c>
      <c r="I6" s="21">
        <v>8</v>
      </c>
      <c r="J6" s="21">
        <v>9</v>
      </c>
    </row>
    <row r="7" spans="2:10" x14ac:dyDescent="0.25">
      <c r="B7" s="14" t="s">
        <v>80</v>
      </c>
      <c r="C7" s="21"/>
      <c r="D7" s="21"/>
      <c r="E7" s="21"/>
      <c r="F7" s="21"/>
      <c r="G7" s="21"/>
      <c r="H7" s="21"/>
      <c r="I7" s="21"/>
      <c r="J7" s="21"/>
    </row>
    <row r="8" spans="2:10" x14ac:dyDescent="0.25">
      <c r="B8" s="47" t="s">
        <v>78</v>
      </c>
      <c r="C8" s="12">
        <v>173</v>
      </c>
      <c r="D8" s="12">
        <v>183</v>
      </c>
      <c r="E8" s="12">
        <v>183</v>
      </c>
      <c r="F8" s="12">
        <v>189</v>
      </c>
      <c r="G8" s="21">
        <v>235</v>
      </c>
      <c r="H8" s="21">
        <v>252</v>
      </c>
      <c r="I8" s="21">
        <v>242</v>
      </c>
      <c r="J8" s="21">
        <v>250</v>
      </c>
    </row>
    <row r="9" spans="2:10" x14ac:dyDescent="0.25">
      <c r="B9" s="47" t="s">
        <v>79</v>
      </c>
      <c r="C9" s="12">
        <v>20</v>
      </c>
      <c r="D9" s="12">
        <v>20</v>
      </c>
      <c r="E9" s="12">
        <v>20</v>
      </c>
      <c r="F9" s="12">
        <v>20</v>
      </c>
      <c r="G9" s="21">
        <v>20</v>
      </c>
      <c r="H9" s="21">
        <v>23</v>
      </c>
      <c r="I9" s="21">
        <v>23</v>
      </c>
      <c r="J9" s="21">
        <v>40</v>
      </c>
    </row>
    <row r="10" spans="2:10" x14ac:dyDescent="0.25">
      <c r="B10" s="2"/>
      <c r="C10" s="21"/>
      <c r="D10" s="21"/>
      <c r="E10" s="21"/>
      <c r="F10" s="21"/>
      <c r="G10" s="21"/>
      <c r="H10" s="21"/>
      <c r="I10" s="21"/>
      <c r="J10" s="21"/>
    </row>
    <row r="11" spans="2:10" x14ac:dyDescent="0.25">
      <c r="B11" s="41" t="s">
        <v>74</v>
      </c>
      <c r="C11" s="21"/>
      <c r="D11" s="21"/>
      <c r="E11" s="21"/>
      <c r="F11" s="21"/>
      <c r="G11" s="21"/>
      <c r="H11" s="21"/>
      <c r="I11" s="21"/>
      <c r="J11" s="21"/>
    </row>
    <row r="12" spans="2:10" x14ac:dyDescent="0.25">
      <c r="B12" s="47" t="s">
        <v>77</v>
      </c>
      <c r="C12" s="12">
        <v>7</v>
      </c>
      <c r="D12" s="12">
        <v>9</v>
      </c>
      <c r="E12" s="12">
        <v>9</v>
      </c>
      <c r="F12" s="38">
        <v>9</v>
      </c>
      <c r="G12" s="21">
        <v>11</v>
      </c>
      <c r="H12" s="21">
        <v>11</v>
      </c>
      <c r="I12" s="21">
        <v>10</v>
      </c>
      <c r="J12" s="21">
        <v>10</v>
      </c>
    </row>
    <row r="13" spans="2:10" x14ac:dyDescent="0.25">
      <c r="B13" s="14" t="s">
        <v>80</v>
      </c>
      <c r="C13" s="2"/>
      <c r="D13" s="2"/>
      <c r="E13" s="2"/>
      <c r="F13" s="2"/>
      <c r="G13" s="2"/>
      <c r="H13" s="2"/>
      <c r="I13" s="2"/>
      <c r="J13" s="21"/>
    </row>
    <row r="14" spans="2:10" x14ac:dyDescent="0.25">
      <c r="B14" s="47" t="s">
        <v>78</v>
      </c>
      <c r="C14" s="12">
        <v>237</v>
      </c>
      <c r="D14" s="12">
        <v>269</v>
      </c>
      <c r="E14" s="12">
        <v>237</v>
      </c>
      <c r="F14" s="2">
        <v>210</v>
      </c>
      <c r="G14" s="2">
        <v>225</v>
      </c>
      <c r="H14" s="2">
        <v>225</v>
      </c>
      <c r="I14" s="2">
        <v>229</v>
      </c>
      <c r="J14" s="21">
        <v>221</v>
      </c>
    </row>
    <row r="15" spans="2:10" x14ac:dyDescent="0.25">
      <c r="B15" s="47" t="s">
        <v>79</v>
      </c>
      <c r="C15" s="12">
        <v>50</v>
      </c>
      <c r="D15" s="12">
        <v>12</v>
      </c>
      <c r="E15" s="12">
        <v>18</v>
      </c>
      <c r="F15" s="2">
        <v>42</v>
      </c>
      <c r="G15" s="2">
        <v>12</v>
      </c>
      <c r="H15" s="2">
        <v>12</v>
      </c>
      <c r="I15" s="2">
        <v>13</v>
      </c>
      <c r="J15" s="21">
        <v>23</v>
      </c>
    </row>
    <row r="16" spans="2:10" x14ac:dyDescent="0.25">
      <c r="B16" s="2"/>
      <c r="C16" s="2"/>
      <c r="D16" s="2"/>
      <c r="E16" s="2"/>
      <c r="F16" s="2"/>
      <c r="G16" s="2"/>
      <c r="H16" s="2"/>
      <c r="I16" s="2"/>
      <c r="J16" s="21"/>
    </row>
    <row r="17" spans="2:10" x14ac:dyDescent="0.25">
      <c r="B17" s="41" t="s">
        <v>75</v>
      </c>
      <c r="C17" s="2"/>
      <c r="D17" s="2"/>
      <c r="E17" s="2"/>
      <c r="F17" s="2"/>
      <c r="G17" s="2"/>
      <c r="H17" s="2"/>
      <c r="I17" s="2"/>
      <c r="J17" s="21"/>
    </row>
    <row r="18" spans="2:10" x14ac:dyDescent="0.25">
      <c r="B18" s="47" t="s">
        <v>376</v>
      </c>
      <c r="C18" s="12">
        <v>45</v>
      </c>
      <c r="D18" s="12">
        <v>46</v>
      </c>
      <c r="E18" s="12">
        <v>41</v>
      </c>
      <c r="F18" s="2">
        <v>38</v>
      </c>
      <c r="G18" s="2">
        <v>38</v>
      </c>
      <c r="H18" s="2">
        <v>39</v>
      </c>
      <c r="I18" s="2">
        <v>44</v>
      </c>
      <c r="J18" s="21">
        <v>44</v>
      </c>
    </row>
    <row r="19" spans="2:10" x14ac:dyDescent="0.25">
      <c r="B19" s="14" t="s">
        <v>80</v>
      </c>
      <c r="C19" s="2"/>
      <c r="D19" s="2"/>
      <c r="E19" s="2"/>
      <c r="F19" s="2"/>
      <c r="G19" s="2"/>
      <c r="H19" s="2"/>
      <c r="I19" s="2"/>
      <c r="J19" s="21"/>
    </row>
    <row r="20" spans="2:10" x14ac:dyDescent="0.25">
      <c r="B20" s="47" t="s">
        <v>375</v>
      </c>
      <c r="C20" s="12">
        <v>441</v>
      </c>
      <c r="D20" s="103">
        <v>441</v>
      </c>
      <c r="E20" s="103">
        <v>481</v>
      </c>
      <c r="F20" s="2">
        <v>463</v>
      </c>
      <c r="G20" s="2">
        <v>463</v>
      </c>
      <c r="H20" s="2">
        <v>496</v>
      </c>
      <c r="I20" s="2">
        <v>504</v>
      </c>
      <c r="J20" s="21">
        <v>504</v>
      </c>
    </row>
    <row r="21" spans="2:10" x14ac:dyDescent="0.25">
      <c r="B21" s="47" t="s">
        <v>79</v>
      </c>
      <c r="C21" s="12">
        <v>7</v>
      </c>
      <c r="D21" s="12">
        <v>7</v>
      </c>
      <c r="E21" s="12">
        <v>7</v>
      </c>
      <c r="F21" s="2">
        <v>7</v>
      </c>
      <c r="G21" s="2">
        <v>7</v>
      </c>
      <c r="H21" s="2">
        <v>7</v>
      </c>
      <c r="I21" s="2">
        <v>6</v>
      </c>
      <c r="J21" s="21">
        <v>7</v>
      </c>
    </row>
    <row r="22" spans="2:10" x14ac:dyDescent="0.25">
      <c r="B22" s="2"/>
      <c r="C22" s="2"/>
      <c r="D22" s="2"/>
      <c r="E22" s="2"/>
      <c r="F22" s="2"/>
      <c r="G22" s="2"/>
      <c r="H22" s="2"/>
      <c r="I22" s="2"/>
      <c r="J22" s="21"/>
    </row>
    <row r="23" spans="2:10" x14ac:dyDescent="0.25">
      <c r="B23" s="41" t="s">
        <v>76</v>
      </c>
      <c r="C23" s="12">
        <f>C6+C12+C18</f>
        <v>61</v>
      </c>
      <c r="D23" s="12">
        <f t="shared" ref="D23:J23" si="0">D6+D12+D18</f>
        <v>64</v>
      </c>
      <c r="E23" s="12">
        <f t="shared" si="0"/>
        <v>59</v>
      </c>
      <c r="F23" s="12">
        <f t="shared" si="0"/>
        <v>56</v>
      </c>
      <c r="G23" s="12">
        <f t="shared" si="0"/>
        <v>58</v>
      </c>
      <c r="H23" s="12">
        <f>H6+H12+H18</f>
        <v>58</v>
      </c>
      <c r="I23" s="12">
        <f t="shared" si="0"/>
        <v>62</v>
      </c>
      <c r="J23" s="21">
        <f t="shared" si="0"/>
        <v>63</v>
      </c>
    </row>
    <row r="24" spans="2:10" x14ac:dyDescent="0.25">
      <c r="B24" s="9"/>
      <c r="J24" s="161"/>
    </row>
    <row r="25" spans="2:10" x14ac:dyDescent="0.25">
      <c r="B25" s="89" t="s">
        <v>378</v>
      </c>
      <c r="J25" s="161"/>
    </row>
    <row r="26" spans="2:10" x14ac:dyDescent="0.25">
      <c r="B26" s="89" t="s">
        <v>377</v>
      </c>
      <c r="J26" s="161"/>
    </row>
    <row r="27" spans="2:10" x14ac:dyDescent="0.25">
      <c r="B27" s="10"/>
      <c r="J27" s="161"/>
    </row>
    <row r="28" spans="2:10" x14ac:dyDescent="0.25">
      <c r="B28" s="6"/>
      <c r="J28" s="161"/>
    </row>
    <row r="29" spans="2:10" x14ac:dyDescent="0.25">
      <c r="B29" s="6"/>
      <c r="J29" s="161"/>
    </row>
    <row r="30" spans="2:10" ht="18.75" x14ac:dyDescent="0.3">
      <c r="B30" s="18" t="s">
        <v>128</v>
      </c>
      <c r="C30" s="19">
        <v>2014</v>
      </c>
      <c r="D30" s="19">
        <v>2015</v>
      </c>
      <c r="E30" s="19">
        <v>2016</v>
      </c>
      <c r="F30" s="19">
        <v>2017</v>
      </c>
      <c r="G30" s="19">
        <v>2018</v>
      </c>
      <c r="H30" s="19">
        <v>2019</v>
      </c>
      <c r="I30" s="19">
        <v>2020</v>
      </c>
      <c r="J30" s="19">
        <v>2021</v>
      </c>
    </row>
    <row r="31" spans="2:10" x14ac:dyDescent="0.25">
      <c r="B31" s="41" t="s">
        <v>73</v>
      </c>
      <c r="J31" s="161"/>
    </row>
    <row r="32" spans="2:10" x14ac:dyDescent="0.25">
      <c r="B32" s="47" t="s">
        <v>77</v>
      </c>
      <c r="C32" s="2">
        <v>17</v>
      </c>
      <c r="D32" s="2">
        <v>17</v>
      </c>
      <c r="E32" s="2">
        <v>17</v>
      </c>
      <c r="F32" s="2">
        <v>17</v>
      </c>
      <c r="G32" s="2">
        <v>17</v>
      </c>
      <c r="H32" s="2">
        <v>17</v>
      </c>
      <c r="I32" s="2">
        <v>17</v>
      </c>
      <c r="J32" s="2">
        <v>17</v>
      </c>
    </row>
    <row r="33" spans="2:10" x14ac:dyDescent="0.25">
      <c r="B33" s="14" t="s">
        <v>80</v>
      </c>
      <c r="C33" s="2"/>
      <c r="D33" s="2"/>
      <c r="E33" s="2"/>
      <c r="F33" s="2"/>
      <c r="G33" s="2"/>
      <c r="H33" s="2"/>
      <c r="I33" s="2"/>
      <c r="J33" s="2"/>
    </row>
    <row r="34" spans="2:10" x14ac:dyDescent="0.25">
      <c r="B34" s="47" t="s">
        <v>78</v>
      </c>
      <c r="C34" s="2">
        <v>101</v>
      </c>
      <c r="D34" s="2">
        <v>107</v>
      </c>
      <c r="E34" s="2">
        <v>107</v>
      </c>
      <c r="F34" s="2">
        <v>107</v>
      </c>
      <c r="G34" s="2">
        <v>107</v>
      </c>
      <c r="H34" s="2">
        <v>100</v>
      </c>
      <c r="I34" s="2">
        <v>124</v>
      </c>
      <c r="J34" s="2">
        <v>130</v>
      </c>
    </row>
    <row r="35" spans="2:10" x14ac:dyDescent="0.25">
      <c r="B35" s="47" t="s">
        <v>79</v>
      </c>
      <c r="C35" s="2">
        <v>12</v>
      </c>
      <c r="D35" s="2">
        <v>12</v>
      </c>
      <c r="E35" s="2">
        <v>12</v>
      </c>
      <c r="F35" s="2">
        <v>12</v>
      </c>
      <c r="G35" s="2">
        <v>12</v>
      </c>
      <c r="H35" s="2">
        <v>12</v>
      </c>
      <c r="I35" s="2">
        <v>12</v>
      </c>
      <c r="J35" s="2">
        <v>12</v>
      </c>
    </row>
    <row r="36" spans="2:10" x14ac:dyDescent="0.25">
      <c r="B36" s="2"/>
      <c r="C36" s="2"/>
      <c r="D36" s="2"/>
      <c r="E36" s="2"/>
      <c r="F36" s="2"/>
      <c r="G36" s="2"/>
      <c r="H36" s="2"/>
      <c r="I36" s="2"/>
      <c r="J36" s="2"/>
    </row>
    <row r="37" spans="2:10" x14ac:dyDescent="0.25">
      <c r="B37" s="41" t="s">
        <v>74</v>
      </c>
      <c r="C37" s="2"/>
      <c r="D37" s="2"/>
      <c r="E37" s="2"/>
      <c r="F37" s="2"/>
      <c r="G37" s="2"/>
      <c r="H37" s="2"/>
      <c r="I37" s="2"/>
      <c r="J37" s="2"/>
    </row>
    <row r="38" spans="2:10" x14ac:dyDescent="0.25">
      <c r="B38" s="47" t="s">
        <v>77</v>
      </c>
      <c r="C38" s="2">
        <v>16</v>
      </c>
      <c r="D38" s="2">
        <v>16</v>
      </c>
      <c r="E38" s="2">
        <v>15</v>
      </c>
      <c r="F38" s="2">
        <v>15</v>
      </c>
      <c r="G38" s="2">
        <v>15</v>
      </c>
      <c r="H38" s="2">
        <v>15</v>
      </c>
      <c r="I38" s="2">
        <v>15</v>
      </c>
      <c r="J38" s="2">
        <v>15</v>
      </c>
    </row>
    <row r="39" spans="2:10" x14ac:dyDescent="0.25">
      <c r="B39" s="14" t="s">
        <v>80</v>
      </c>
      <c r="C39" s="2"/>
      <c r="D39" s="2"/>
      <c r="E39" s="2"/>
      <c r="F39" s="2"/>
      <c r="G39" s="2"/>
      <c r="H39" s="2"/>
      <c r="I39" s="2"/>
      <c r="J39" s="2"/>
    </row>
    <row r="40" spans="2:10" x14ac:dyDescent="0.25">
      <c r="B40" s="47" t="s">
        <v>78</v>
      </c>
      <c r="C40" s="2">
        <f>229+26</f>
        <v>255</v>
      </c>
      <c r="D40" s="2">
        <v>255</v>
      </c>
      <c r="E40" s="2">
        <v>255</v>
      </c>
      <c r="F40" s="2">
        <v>255</v>
      </c>
      <c r="G40" s="2">
        <v>312</v>
      </c>
      <c r="H40" s="2">
        <v>312</v>
      </c>
      <c r="I40" s="2">
        <v>312</v>
      </c>
      <c r="J40" s="2">
        <v>312</v>
      </c>
    </row>
    <row r="41" spans="2:10" x14ac:dyDescent="0.25">
      <c r="B41" s="47" t="s">
        <v>79</v>
      </c>
      <c r="C41" s="2">
        <v>60</v>
      </c>
      <c r="D41" s="2">
        <v>59</v>
      </c>
      <c r="E41" s="2">
        <v>58</v>
      </c>
      <c r="F41" s="2">
        <v>58</v>
      </c>
      <c r="G41" s="2">
        <v>58</v>
      </c>
      <c r="H41" s="2">
        <v>48</v>
      </c>
      <c r="I41" s="2">
        <v>59</v>
      </c>
      <c r="J41" s="2">
        <v>59</v>
      </c>
    </row>
    <row r="42" spans="2:10" x14ac:dyDescent="0.25">
      <c r="B42" s="2"/>
      <c r="C42" s="2"/>
      <c r="D42" s="2"/>
      <c r="E42" s="2"/>
      <c r="F42" s="2"/>
      <c r="G42" s="2"/>
      <c r="H42" s="2"/>
      <c r="I42" s="2"/>
      <c r="J42" s="2"/>
    </row>
    <row r="43" spans="2:10" x14ac:dyDescent="0.25">
      <c r="B43" s="41" t="s">
        <v>75</v>
      </c>
      <c r="C43" s="2"/>
      <c r="D43" s="2"/>
      <c r="E43" s="2"/>
      <c r="F43" s="2"/>
      <c r="G43" s="2"/>
      <c r="H43" s="2"/>
      <c r="I43" s="2"/>
      <c r="J43" s="2"/>
    </row>
    <row r="44" spans="2:10" x14ac:dyDescent="0.25">
      <c r="B44" s="47" t="s">
        <v>77</v>
      </c>
      <c r="C44" s="2"/>
      <c r="D44" s="2"/>
      <c r="E44" s="2"/>
      <c r="F44" s="2"/>
      <c r="G44" s="2"/>
      <c r="H44" s="2"/>
      <c r="I44" s="2"/>
      <c r="J44" s="2"/>
    </row>
    <row r="45" spans="2:10" x14ac:dyDescent="0.25">
      <c r="B45" s="14" t="s">
        <v>80</v>
      </c>
      <c r="C45" s="2"/>
      <c r="D45" s="2"/>
      <c r="E45" s="2"/>
      <c r="F45" s="2"/>
      <c r="G45" s="2"/>
      <c r="H45" s="2"/>
      <c r="I45" s="2"/>
      <c r="J45" s="2"/>
    </row>
    <row r="46" spans="2:10" x14ac:dyDescent="0.25">
      <c r="B46" s="47" t="s">
        <v>78</v>
      </c>
      <c r="C46" s="2"/>
      <c r="D46" s="2"/>
      <c r="E46" s="2"/>
      <c r="F46" s="2"/>
      <c r="G46" s="2"/>
      <c r="H46" s="2"/>
      <c r="I46" s="2"/>
      <c r="J46" s="2"/>
    </row>
    <row r="47" spans="2:10" x14ac:dyDescent="0.25">
      <c r="B47" s="47" t="s">
        <v>79</v>
      </c>
      <c r="C47" s="2"/>
      <c r="D47" s="2"/>
      <c r="E47" s="2"/>
      <c r="F47" s="2"/>
      <c r="G47" s="2"/>
      <c r="H47" s="2"/>
      <c r="I47" s="2"/>
      <c r="J47" s="2"/>
    </row>
    <row r="48" spans="2:10" x14ac:dyDescent="0.25">
      <c r="B48" s="2"/>
      <c r="C48" s="2"/>
      <c r="D48" s="2"/>
      <c r="E48" s="2"/>
      <c r="F48" s="2"/>
      <c r="G48" s="2"/>
      <c r="H48" s="2"/>
      <c r="I48" s="2"/>
      <c r="J48" s="2"/>
    </row>
    <row r="49" spans="2:12" x14ac:dyDescent="0.25">
      <c r="B49" s="41" t="s">
        <v>76</v>
      </c>
      <c r="C49" s="12">
        <f>C32+C38+C44</f>
        <v>33</v>
      </c>
      <c r="D49" s="12">
        <f t="shared" ref="D49:G49" si="1">D32+D38+D44</f>
        <v>33</v>
      </c>
      <c r="E49" s="12">
        <f t="shared" si="1"/>
        <v>32</v>
      </c>
      <c r="F49" s="12">
        <f>F32+F38+F44</f>
        <v>32</v>
      </c>
      <c r="G49" s="12">
        <f t="shared" si="1"/>
        <v>32</v>
      </c>
      <c r="H49" s="12">
        <f t="shared" ref="H49:I49" si="2">H32+H38+H44</f>
        <v>32</v>
      </c>
      <c r="I49" s="12">
        <f t="shared" si="2"/>
        <v>32</v>
      </c>
      <c r="J49" s="12">
        <f t="shared" ref="J49" si="3">J32+J38+J44</f>
        <v>32</v>
      </c>
    </row>
    <row r="50" spans="2:12" x14ac:dyDescent="0.25">
      <c r="B50" s="9"/>
      <c r="J50" s="161"/>
    </row>
    <row r="51" spans="2:12" x14ac:dyDescent="0.25">
      <c r="B51" s="9"/>
      <c r="J51" s="161"/>
    </row>
    <row r="52" spans="2:12" x14ac:dyDescent="0.25">
      <c r="B52" s="9"/>
      <c r="J52" s="161"/>
    </row>
    <row r="53" spans="2:12" x14ac:dyDescent="0.25">
      <c r="B53" s="10"/>
      <c r="J53" s="161"/>
    </row>
    <row r="54" spans="2:12" x14ac:dyDescent="0.25">
      <c r="B54" s="6"/>
      <c r="J54" s="161"/>
    </row>
    <row r="55" spans="2:12" x14ac:dyDescent="0.25">
      <c r="B55" s="6"/>
      <c r="J55" s="161"/>
    </row>
    <row r="56" spans="2:12" ht="18.75" x14ac:dyDescent="0.3">
      <c r="B56" s="18" t="s">
        <v>129</v>
      </c>
      <c r="C56" s="19">
        <v>2014</v>
      </c>
      <c r="D56" s="19">
        <v>2015</v>
      </c>
      <c r="E56" s="19">
        <v>2016</v>
      </c>
      <c r="F56" s="19">
        <v>2017</v>
      </c>
      <c r="G56" s="19">
        <v>2018</v>
      </c>
      <c r="H56" s="19">
        <v>2019</v>
      </c>
      <c r="I56" s="19">
        <v>2020</v>
      </c>
      <c r="J56" s="19">
        <v>2021</v>
      </c>
    </row>
    <row r="57" spans="2:12" x14ac:dyDescent="0.25">
      <c r="B57" s="41" t="s">
        <v>73</v>
      </c>
      <c r="H57" s="147"/>
      <c r="J57" s="161"/>
    </row>
    <row r="58" spans="2:12" x14ac:dyDescent="0.25">
      <c r="B58" s="47" t="s">
        <v>77</v>
      </c>
      <c r="C58" s="104">
        <v>2</v>
      </c>
      <c r="D58" s="104">
        <v>2</v>
      </c>
      <c r="E58" s="104">
        <v>2</v>
      </c>
      <c r="F58" s="104">
        <v>2</v>
      </c>
      <c r="G58" s="42">
        <v>2</v>
      </c>
      <c r="H58" s="42">
        <v>2</v>
      </c>
      <c r="I58" s="42">
        <v>2</v>
      </c>
      <c r="J58" s="42">
        <v>2</v>
      </c>
    </row>
    <row r="59" spans="2:12" x14ac:dyDescent="0.25">
      <c r="B59" s="14" t="s">
        <v>80</v>
      </c>
      <c r="C59" s="42"/>
      <c r="D59" s="42"/>
      <c r="E59" s="42"/>
      <c r="F59" s="42"/>
      <c r="G59" s="42"/>
      <c r="H59" s="42"/>
      <c r="I59" s="42"/>
      <c r="J59" s="42"/>
    </row>
    <row r="60" spans="2:12" x14ac:dyDescent="0.25">
      <c r="B60" s="47" t="s">
        <v>78</v>
      </c>
      <c r="C60" s="104">
        <v>22</v>
      </c>
      <c r="D60" s="104">
        <v>23</v>
      </c>
      <c r="E60" s="104">
        <v>23</v>
      </c>
      <c r="F60" s="104">
        <v>23</v>
      </c>
      <c r="G60" s="42">
        <v>22</v>
      </c>
      <c r="H60" s="42">
        <v>22</v>
      </c>
      <c r="I60" s="42">
        <v>21</v>
      </c>
      <c r="J60" s="42">
        <v>21</v>
      </c>
      <c r="L60" s="175"/>
    </row>
    <row r="61" spans="2:12" x14ac:dyDescent="0.25">
      <c r="B61" s="47" t="s">
        <v>79</v>
      </c>
      <c r="C61" s="104">
        <v>20</v>
      </c>
      <c r="D61" s="104">
        <v>21</v>
      </c>
      <c r="E61" s="104">
        <v>21</v>
      </c>
      <c r="F61" s="104">
        <v>22</v>
      </c>
      <c r="G61" s="42">
        <v>22</v>
      </c>
      <c r="H61" s="42">
        <v>22</v>
      </c>
      <c r="I61" s="42">
        <v>21</v>
      </c>
      <c r="J61" s="42">
        <v>21</v>
      </c>
      <c r="L61" s="175"/>
    </row>
    <row r="62" spans="2:12" x14ac:dyDescent="0.25">
      <c r="B62" s="2"/>
      <c r="C62" s="42"/>
      <c r="D62" s="42"/>
      <c r="E62" s="42"/>
      <c r="F62" s="42"/>
      <c r="G62" s="42"/>
      <c r="H62" s="42"/>
      <c r="I62" s="42"/>
      <c r="J62" s="42"/>
    </row>
    <row r="63" spans="2:12" x14ac:dyDescent="0.25">
      <c r="B63" s="41" t="s">
        <v>74</v>
      </c>
      <c r="C63" s="42"/>
      <c r="D63" s="42"/>
      <c r="E63" s="42"/>
      <c r="F63" s="42"/>
      <c r="G63" s="42"/>
      <c r="H63" s="42"/>
      <c r="I63" s="42"/>
      <c r="J63" s="42"/>
    </row>
    <row r="64" spans="2:12" x14ac:dyDescent="0.25">
      <c r="B64" s="47" t="s">
        <v>77</v>
      </c>
      <c r="C64" s="104">
        <v>4</v>
      </c>
      <c r="D64" s="104">
        <v>3</v>
      </c>
      <c r="E64" s="104">
        <v>3</v>
      </c>
      <c r="F64" s="104">
        <v>3</v>
      </c>
      <c r="G64" s="42">
        <v>3</v>
      </c>
      <c r="H64" s="42">
        <v>3</v>
      </c>
      <c r="I64" s="42">
        <v>2</v>
      </c>
      <c r="J64" s="42">
        <v>2</v>
      </c>
    </row>
    <row r="65" spans="2:12" x14ac:dyDescent="0.25">
      <c r="B65" s="14" t="s">
        <v>80</v>
      </c>
      <c r="C65" s="42"/>
      <c r="D65" s="42"/>
      <c r="E65" s="42"/>
      <c r="F65" s="42"/>
      <c r="G65" s="42"/>
      <c r="H65" s="42"/>
      <c r="I65" s="42"/>
      <c r="J65" s="42"/>
    </row>
    <row r="66" spans="2:12" x14ac:dyDescent="0.25">
      <c r="B66" s="47" t="s">
        <v>78</v>
      </c>
      <c r="C66" s="104">
        <v>87</v>
      </c>
      <c r="D66" s="104">
        <v>87</v>
      </c>
      <c r="E66" s="104">
        <v>87</v>
      </c>
      <c r="F66" s="104">
        <v>78</v>
      </c>
      <c r="G66" s="42">
        <v>78</v>
      </c>
      <c r="H66" s="42">
        <v>78</v>
      </c>
      <c r="I66" s="42">
        <v>78</v>
      </c>
      <c r="J66" s="42">
        <v>83</v>
      </c>
      <c r="L66" s="175"/>
    </row>
    <row r="67" spans="2:12" x14ac:dyDescent="0.25">
      <c r="B67" s="47" t="s">
        <v>79</v>
      </c>
      <c r="C67" s="104">
        <v>10</v>
      </c>
      <c r="D67" s="104">
        <v>10</v>
      </c>
      <c r="E67" s="104">
        <v>10</v>
      </c>
      <c r="F67" s="104">
        <v>10</v>
      </c>
      <c r="G67" s="42">
        <v>10</v>
      </c>
      <c r="H67" s="42">
        <v>10</v>
      </c>
      <c r="I67" s="42">
        <v>56</v>
      </c>
      <c r="J67" s="42">
        <v>56</v>
      </c>
      <c r="L67" s="175"/>
    </row>
    <row r="68" spans="2:12" x14ac:dyDescent="0.25">
      <c r="B68" s="2"/>
      <c r="C68" s="42"/>
      <c r="D68" s="42"/>
      <c r="E68" s="42"/>
      <c r="F68" s="42"/>
      <c r="G68" s="42"/>
      <c r="H68" s="42"/>
      <c r="I68" s="42"/>
      <c r="J68" s="42"/>
    </row>
    <row r="69" spans="2:12" x14ac:dyDescent="0.25">
      <c r="B69" s="41" t="s">
        <v>372</v>
      </c>
      <c r="C69" s="42"/>
      <c r="D69" s="42"/>
      <c r="E69" s="42"/>
      <c r="F69" s="42"/>
      <c r="G69" s="42"/>
      <c r="H69" s="42"/>
      <c r="I69" s="42"/>
      <c r="J69" s="42"/>
    </row>
    <row r="70" spans="2:12" x14ac:dyDescent="0.25">
      <c r="B70" s="47" t="s">
        <v>77</v>
      </c>
      <c r="C70" s="42"/>
      <c r="D70" s="42"/>
      <c r="E70" s="42"/>
      <c r="F70" s="42"/>
      <c r="G70" s="42"/>
      <c r="H70" s="42"/>
      <c r="I70" s="42"/>
      <c r="J70" s="42"/>
    </row>
    <row r="71" spans="2:12" x14ac:dyDescent="0.25">
      <c r="B71" s="14" t="s">
        <v>80</v>
      </c>
      <c r="C71" s="42"/>
      <c r="D71" s="42"/>
      <c r="E71" s="42"/>
      <c r="F71" s="42"/>
      <c r="G71" s="42"/>
      <c r="H71" s="42"/>
      <c r="I71" s="42"/>
      <c r="J71" s="42"/>
    </row>
    <row r="72" spans="2:12" x14ac:dyDescent="0.25">
      <c r="B72" s="47" t="s">
        <v>78</v>
      </c>
      <c r="C72" s="42"/>
      <c r="D72" s="42"/>
      <c r="E72" s="42"/>
      <c r="F72" s="42"/>
      <c r="G72" s="42"/>
      <c r="H72" s="42"/>
      <c r="I72" s="42"/>
      <c r="J72" s="42"/>
    </row>
    <row r="73" spans="2:12" x14ac:dyDescent="0.25">
      <c r="B73" s="47" t="s">
        <v>79</v>
      </c>
      <c r="C73" s="42"/>
      <c r="D73" s="42"/>
      <c r="E73" s="42"/>
      <c r="F73" s="42"/>
      <c r="G73" s="42"/>
      <c r="H73" s="42"/>
      <c r="I73" s="42"/>
      <c r="J73" s="42"/>
    </row>
    <row r="74" spans="2:12" x14ac:dyDescent="0.25">
      <c r="B74" s="2"/>
      <c r="C74" s="42"/>
      <c r="D74" s="42"/>
      <c r="E74" s="42"/>
      <c r="F74" s="42"/>
      <c r="G74" s="42"/>
      <c r="H74" s="42"/>
      <c r="I74" s="42"/>
      <c r="J74" s="42"/>
    </row>
    <row r="75" spans="2:12" x14ac:dyDescent="0.25">
      <c r="B75" s="41" t="s">
        <v>76</v>
      </c>
      <c r="C75" s="103">
        <f>C58+C64+C70</f>
        <v>6</v>
      </c>
      <c r="D75" s="103">
        <f t="shared" ref="D75:H75" si="4">D58+D64+D70</f>
        <v>5</v>
      </c>
      <c r="E75" s="103">
        <f t="shared" si="4"/>
        <v>5</v>
      </c>
      <c r="F75" s="103">
        <f t="shared" si="4"/>
        <v>5</v>
      </c>
      <c r="G75" s="103">
        <f t="shared" si="4"/>
        <v>5</v>
      </c>
      <c r="H75" s="103">
        <f t="shared" si="4"/>
        <v>5</v>
      </c>
      <c r="I75" s="103">
        <f t="shared" ref="I75" si="5">I58+I64+I70</f>
        <v>4</v>
      </c>
      <c r="J75" s="103">
        <f>J58+J64+J70</f>
        <v>4</v>
      </c>
    </row>
    <row r="76" spans="2:12" x14ac:dyDescent="0.25">
      <c r="B76" s="9"/>
      <c r="J76" s="161"/>
    </row>
    <row r="77" spans="2:12" s="167" customFormat="1" x14ac:dyDescent="0.25">
      <c r="B77" s="89" t="s">
        <v>373</v>
      </c>
    </row>
    <row r="78" spans="2:12" x14ac:dyDescent="0.25">
      <c r="B78" s="9"/>
      <c r="J78" s="161"/>
    </row>
    <row r="79" spans="2:12" x14ac:dyDescent="0.25">
      <c r="B79" s="10"/>
      <c r="J79" s="161"/>
    </row>
    <row r="80" spans="2:12" x14ac:dyDescent="0.25">
      <c r="B80" s="6"/>
      <c r="J80" s="161"/>
    </row>
    <row r="81" spans="2:10" x14ac:dyDescent="0.25">
      <c r="B81" s="6"/>
      <c r="J81" s="161"/>
    </row>
    <row r="82" spans="2:10" ht="18.75" x14ac:dyDescent="0.3">
      <c r="B82" s="18" t="s">
        <v>130</v>
      </c>
      <c r="C82" s="19">
        <v>2014</v>
      </c>
      <c r="D82" s="19">
        <v>2015</v>
      </c>
      <c r="E82" s="19">
        <v>2016</v>
      </c>
      <c r="F82" s="19">
        <v>2017</v>
      </c>
      <c r="G82" s="19">
        <v>2018</v>
      </c>
      <c r="H82" s="19">
        <v>2019</v>
      </c>
      <c r="I82" s="19">
        <v>2020</v>
      </c>
      <c r="J82" s="19">
        <v>2021</v>
      </c>
    </row>
    <row r="83" spans="2:10" x14ac:dyDescent="0.25">
      <c r="B83" s="41" t="s">
        <v>281</v>
      </c>
      <c r="J83" s="161"/>
    </row>
    <row r="84" spans="2:10" x14ac:dyDescent="0.25">
      <c r="B84" s="47" t="s">
        <v>77</v>
      </c>
      <c r="C84" s="42">
        <v>38</v>
      </c>
      <c r="D84" s="42">
        <v>33</v>
      </c>
      <c r="E84" s="42">
        <v>33</v>
      </c>
      <c r="F84" s="2">
        <v>38</v>
      </c>
      <c r="G84" s="2">
        <v>38</v>
      </c>
      <c r="H84" s="2">
        <v>33</v>
      </c>
      <c r="I84" s="2">
        <v>28</v>
      </c>
      <c r="J84" s="2">
        <v>28</v>
      </c>
    </row>
    <row r="85" spans="2:10" x14ac:dyDescent="0.25">
      <c r="B85" s="14" t="s">
        <v>80</v>
      </c>
      <c r="C85" s="2"/>
      <c r="D85" s="2"/>
      <c r="E85" s="2"/>
      <c r="F85" s="2"/>
      <c r="G85" s="2"/>
      <c r="H85" s="2"/>
      <c r="I85" s="2"/>
      <c r="J85" s="2"/>
    </row>
    <row r="86" spans="2:10" x14ac:dyDescent="0.25">
      <c r="B86" s="47" t="s">
        <v>78</v>
      </c>
      <c r="C86" s="105">
        <v>115</v>
      </c>
      <c r="D86" s="105">
        <v>115</v>
      </c>
      <c r="E86" s="105">
        <v>115</v>
      </c>
      <c r="F86" s="105">
        <v>115</v>
      </c>
      <c r="G86" s="2">
        <v>115</v>
      </c>
      <c r="H86" s="2">
        <v>115</v>
      </c>
      <c r="I86" s="2">
        <v>115</v>
      </c>
      <c r="J86" s="2">
        <v>115</v>
      </c>
    </row>
    <row r="87" spans="2:10" x14ac:dyDescent="0.25">
      <c r="B87" s="47" t="s">
        <v>79</v>
      </c>
      <c r="C87" s="105">
        <v>10</v>
      </c>
      <c r="D87" s="105">
        <v>10</v>
      </c>
      <c r="E87" s="105">
        <v>10</v>
      </c>
      <c r="F87" s="105">
        <v>10</v>
      </c>
      <c r="G87" s="2">
        <v>10</v>
      </c>
      <c r="H87" s="2">
        <v>10</v>
      </c>
      <c r="I87" s="2">
        <v>10</v>
      </c>
      <c r="J87" s="2">
        <v>10</v>
      </c>
    </row>
    <row r="88" spans="2:10" x14ac:dyDescent="0.25">
      <c r="B88" s="2"/>
      <c r="C88" s="2"/>
      <c r="D88" s="2"/>
      <c r="E88" s="2"/>
      <c r="F88" s="2"/>
      <c r="G88" s="2"/>
      <c r="H88" s="2"/>
      <c r="I88" s="2"/>
      <c r="J88" s="2"/>
    </row>
    <row r="89" spans="2:10" x14ac:dyDescent="0.25">
      <c r="B89" s="41" t="s">
        <v>282</v>
      </c>
      <c r="C89" s="2"/>
      <c r="D89" s="2"/>
      <c r="E89" s="2"/>
      <c r="F89" s="2"/>
      <c r="G89" s="2"/>
      <c r="H89" s="2"/>
      <c r="I89" s="2"/>
      <c r="J89" s="2"/>
    </row>
    <row r="90" spans="2:10" x14ac:dyDescent="0.25">
      <c r="B90" s="47" t="s">
        <v>77</v>
      </c>
      <c r="C90" s="105">
        <v>35</v>
      </c>
      <c r="D90" s="105">
        <v>32</v>
      </c>
      <c r="E90" s="105">
        <v>34</v>
      </c>
      <c r="F90" s="105">
        <v>31</v>
      </c>
      <c r="G90" s="2">
        <v>31</v>
      </c>
      <c r="H90" s="2">
        <v>31</v>
      </c>
      <c r="I90" s="2">
        <v>29</v>
      </c>
      <c r="J90" s="2">
        <v>29</v>
      </c>
    </row>
    <row r="91" spans="2:10" x14ac:dyDescent="0.25">
      <c r="B91" s="14" t="s">
        <v>80</v>
      </c>
      <c r="C91" s="2"/>
      <c r="D91" s="2"/>
      <c r="E91" s="2"/>
      <c r="F91" s="2"/>
      <c r="G91" s="2"/>
      <c r="H91" s="2"/>
      <c r="I91" s="2"/>
      <c r="J91" s="2"/>
    </row>
    <row r="92" spans="2:10" x14ac:dyDescent="0.25">
      <c r="B92" s="47" t="s">
        <v>78</v>
      </c>
      <c r="C92" s="2">
        <v>412</v>
      </c>
      <c r="D92" s="2">
        <v>416</v>
      </c>
      <c r="E92" s="2">
        <v>416</v>
      </c>
      <c r="F92" s="2">
        <v>286</v>
      </c>
      <c r="G92" s="2">
        <v>286</v>
      </c>
      <c r="H92" s="2">
        <v>284</v>
      </c>
      <c r="I92" s="2">
        <v>286</v>
      </c>
      <c r="J92" s="2">
        <v>284</v>
      </c>
    </row>
    <row r="93" spans="2:10" x14ac:dyDescent="0.25">
      <c r="B93" s="47" t="s">
        <v>79</v>
      </c>
      <c r="C93" s="105">
        <v>15</v>
      </c>
      <c r="D93" s="105">
        <v>4</v>
      </c>
      <c r="E93" s="105">
        <v>4</v>
      </c>
      <c r="F93" s="105">
        <v>4</v>
      </c>
      <c r="G93" s="2">
        <v>4</v>
      </c>
      <c r="H93" s="2">
        <v>4</v>
      </c>
      <c r="I93" s="2">
        <v>4</v>
      </c>
      <c r="J93" s="2">
        <v>4</v>
      </c>
    </row>
    <row r="94" spans="2:10" x14ac:dyDescent="0.25">
      <c r="B94" s="2"/>
      <c r="C94" s="2"/>
      <c r="D94" s="2"/>
      <c r="E94" s="2"/>
      <c r="F94" s="2"/>
      <c r="G94" s="2"/>
      <c r="H94" s="2"/>
      <c r="I94" s="2"/>
      <c r="J94" s="2"/>
    </row>
    <row r="95" spans="2:10" x14ac:dyDescent="0.25">
      <c r="B95" s="41" t="s">
        <v>75</v>
      </c>
      <c r="C95" s="2"/>
      <c r="D95" s="2"/>
      <c r="E95" s="2"/>
      <c r="F95" s="2"/>
      <c r="G95" s="2"/>
      <c r="H95" s="2"/>
      <c r="I95" s="2"/>
      <c r="J95" s="2"/>
    </row>
    <row r="96" spans="2:10" x14ac:dyDescent="0.25">
      <c r="B96" s="47" t="s">
        <v>77</v>
      </c>
      <c r="C96" s="2"/>
      <c r="D96" s="2"/>
      <c r="E96" s="2"/>
      <c r="F96" s="2"/>
      <c r="G96" s="2"/>
      <c r="H96" s="2"/>
      <c r="I96" s="2"/>
      <c r="J96" s="2"/>
    </row>
    <row r="97" spans="2:10" x14ac:dyDescent="0.25">
      <c r="B97" s="14" t="s">
        <v>80</v>
      </c>
      <c r="C97" s="2"/>
      <c r="D97" s="2"/>
      <c r="E97" s="2"/>
      <c r="F97" s="2"/>
      <c r="G97" s="2"/>
      <c r="H97" s="2"/>
      <c r="I97" s="2"/>
      <c r="J97" s="2"/>
    </row>
    <row r="98" spans="2:10" x14ac:dyDescent="0.25">
      <c r="B98" s="47" t="s">
        <v>78</v>
      </c>
      <c r="C98" s="2"/>
      <c r="D98" s="2"/>
      <c r="E98" s="2"/>
      <c r="F98" s="2"/>
      <c r="G98" s="2"/>
      <c r="H98" s="2"/>
      <c r="I98" s="2"/>
      <c r="J98" s="2"/>
    </row>
    <row r="99" spans="2:10" x14ac:dyDescent="0.25">
      <c r="B99" s="47" t="s">
        <v>79</v>
      </c>
      <c r="C99" s="2"/>
      <c r="D99" s="2"/>
      <c r="E99" s="2"/>
      <c r="F99" s="2"/>
      <c r="G99" s="2"/>
      <c r="H99" s="2"/>
      <c r="I99" s="2"/>
      <c r="J99" s="2"/>
    </row>
    <row r="100" spans="2:10" x14ac:dyDescent="0.25">
      <c r="B100" s="2"/>
      <c r="C100" s="2"/>
      <c r="D100" s="2"/>
      <c r="E100" s="2"/>
      <c r="F100" s="2"/>
      <c r="G100" s="2"/>
      <c r="H100" s="2"/>
      <c r="I100" s="2"/>
      <c r="J100" s="2"/>
    </row>
    <row r="101" spans="2:10" x14ac:dyDescent="0.25">
      <c r="B101" s="41" t="s">
        <v>76</v>
      </c>
      <c r="C101" s="103">
        <f>C84+C90+C96</f>
        <v>73</v>
      </c>
      <c r="D101" s="103">
        <f t="shared" ref="D101:G101" si="6">D84+D90+D96</f>
        <v>65</v>
      </c>
      <c r="E101" s="103">
        <f t="shared" si="6"/>
        <v>67</v>
      </c>
      <c r="F101" s="103">
        <f t="shared" si="6"/>
        <v>69</v>
      </c>
      <c r="G101" s="103">
        <f t="shared" si="6"/>
        <v>69</v>
      </c>
      <c r="H101" s="103">
        <f t="shared" ref="H101:I101" si="7">H84+H90+H96</f>
        <v>64</v>
      </c>
      <c r="I101" s="103">
        <f t="shared" si="7"/>
        <v>57</v>
      </c>
      <c r="J101" s="103">
        <f t="shared" ref="J101" si="8">J84+J90+J96</f>
        <v>57</v>
      </c>
    </row>
    <row r="102" spans="2:10" x14ac:dyDescent="0.25">
      <c r="B102" s="9"/>
      <c r="J102" s="161"/>
    </row>
    <row r="103" spans="2:10" x14ac:dyDescent="0.25">
      <c r="B103" s="89" t="s">
        <v>339</v>
      </c>
      <c r="J103" s="161"/>
    </row>
    <row r="104" spans="2:10" x14ac:dyDescent="0.25">
      <c r="B104" s="89" t="s">
        <v>305</v>
      </c>
      <c r="J104" s="161"/>
    </row>
    <row r="105" spans="2:10" x14ac:dyDescent="0.25">
      <c r="B105" s="89" t="s">
        <v>333</v>
      </c>
      <c r="J105" s="161"/>
    </row>
    <row r="106" spans="2:10" x14ac:dyDescent="0.25">
      <c r="B106" s="6"/>
      <c r="J106" s="161"/>
    </row>
    <row r="107" spans="2:10" x14ac:dyDescent="0.25">
      <c r="B107" s="6"/>
      <c r="J107" s="161"/>
    </row>
    <row r="108" spans="2:10" ht="18.75" x14ac:dyDescent="0.3">
      <c r="B108" s="18" t="s">
        <v>256</v>
      </c>
      <c r="C108" s="19">
        <v>2014</v>
      </c>
      <c r="D108" s="19">
        <v>2015</v>
      </c>
      <c r="E108" s="19">
        <v>2016</v>
      </c>
      <c r="F108" s="19">
        <v>2017</v>
      </c>
      <c r="G108" s="19">
        <v>2018</v>
      </c>
      <c r="H108" s="19">
        <v>2019</v>
      </c>
      <c r="I108" s="19">
        <v>2020</v>
      </c>
      <c r="J108" s="19">
        <v>2021</v>
      </c>
    </row>
    <row r="109" spans="2:10" x14ac:dyDescent="0.25">
      <c r="B109" s="41" t="s">
        <v>73</v>
      </c>
      <c r="C109" s="2"/>
      <c r="D109" s="2"/>
      <c r="E109" s="2"/>
      <c r="F109" s="2"/>
      <c r="G109" s="13"/>
      <c r="H109" s="13"/>
      <c r="I109" s="13"/>
      <c r="J109" s="13"/>
    </row>
    <row r="110" spans="2:10" x14ac:dyDescent="0.25">
      <c r="B110" s="47" t="s">
        <v>77</v>
      </c>
      <c r="C110" s="51">
        <v>20</v>
      </c>
      <c r="D110" s="51">
        <v>20</v>
      </c>
      <c r="E110" s="51">
        <v>19</v>
      </c>
      <c r="F110" s="48">
        <v>18</v>
      </c>
      <c r="G110" s="2">
        <v>18</v>
      </c>
      <c r="H110" s="2">
        <v>18</v>
      </c>
      <c r="I110" s="21">
        <v>18</v>
      </c>
      <c r="J110" s="2">
        <v>19</v>
      </c>
    </row>
    <row r="111" spans="2:10" x14ac:dyDescent="0.25">
      <c r="B111" s="14" t="s">
        <v>80</v>
      </c>
      <c r="C111" s="2"/>
      <c r="D111" s="2"/>
      <c r="E111" s="2"/>
      <c r="F111" s="2"/>
      <c r="G111" s="13"/>
      <c r="H111" s="13"/>
      <c r="I111" s="28"/>
      <c r="J111" s="13"/>
    </row>
    <row r="112" spans="2:10" x14ac:dyDescent="0.25">
      <c r="B112" s="47" t="s">
        <v>78</v>
      </c>
      <c r="C112" s="52">
        <v>120</v>
      </c>
      <c r="D112" s="52">
        <v>120</v>
      </c>
      <c r="E112" s="52">
        <v>120</v>
      </c>
      <c r="F112" s="52">
        <v>120</v>
      </c>
      <c r="G112" s="101">
        <v>127</v>
      </c>
      <c r="H112" s="101">
        <v>150</v>
      </c>
      <c r="I112" s="132">
        <v>170</v>
      </c>
      <c r="J112" s="101">
        <v>183</v>
      </c>
    </row>
    <row r="113" spans="2:10" x14ac:dyDescent="0.25">
      <c r="B113" s="47" t="s">
        <v>79</v>
      </c>
      <c r="C113" s="52">
        <v>12</v>
      </c>
      <c r="D113" s="52">
        <v>12</v>
      </c>
      <c r="E113" s="52">
        <v>12</v>
      </c>
      <c r="F113" s="49">
        <v>12</v>
      </c>
      <c r="G113" s="37">
        <v>12</v>
      </c>
      <c r="H113" s="37">
        <v>6</v>
      </c>
      <c r="I113" s="157">
        <v>6</v>
      </c>
      <c r="J113" s="37">
        <v>6</v>
      </c>
    </row>
    <row r="114" spans="2:10" x14ac:dyDescent="0.25">
      <c r="B114" s="2"/>
      <c r="C114" s="2"/>
      <c r="D114" s="2"/>
      <c r="E114" s="2"/>
      <c r="F114" s="2"/>
      <c r="G114" s="36"/>
      <c r="H114" s="36"/>
      <c r="I114" s="158"/>
      <c r="J114" s="36"/>
    </row>
    <row r="115" spans="2:10" x14ac:dyDescent="0.25">
      <c r="B115" s="41" t="s">
        <v>74</v>
      </c>
      <c r="C115" s="2"/>
      <c r="D115" s="2"/>
      <c r="E115" s="2"/>
      <c r="F115" s="2"/>
      <c r="G115" s="2"/>
      <c r="H115" s="2"/>
      <c r="I115" s="21"/>
      <c r="J115" s="2"/>
    </row>
    <row r="116" spans="2:10" x14ac:dyDescent="0.25">
      <c r="B116" s="47" t="s">
        <v>77</v>
      </c>
      <c r="C116" s="2">
        <v>36</v>
      </c>
      <c r="D116" s="2">
        <v>36</v>
      </c>
      <c r="E116" s="2">
        <v>35</v>
      </c>
      <c r="F116" s="2">
        <v>34</v>
      </c>
      <c r="G116" s="2">
        <v>33</v>
      </c>
      <c r="H116" s="2">
        <v>33</v>
      </c>
      <c r="I116" s="21">
        <v>33</v>
      </c>
      <c r="J116" s="2">
        <v>33</v>
      </c>
    </row>
    <row r="117" spans="2:10" x14ac:dyDescent="0.25">
      <c r="B117" s="14" t="s">
        <v>80</v>
      </c>
      <c r="C117" s="2"/>
      <c r="D117" s="2"/>
      <c r="E117" s="2"/>
      <c r="F117" s="2"/>
      <c r="G117" s="38"/>
      <c r="H117" s="38"/>
      <c r="I117" s="153"/>
      <c r="J117" s="38"/>
    </row>
    <row r="118" spans="2:10" x14ac:dyDescent="0.25">
      <c r="B118" s="47" t="s">
        <v>78</v>
      </c>
      <c r="C118" s="21">
        <v>405</v>
      </c>
      <c r="D118" s="21">
        <v>405</v>
      </c>
      <c r="E118" s="21">
        <v>405</v>
      </c>
      <c r="F118" s="21">
        <v>405</v>
      </c>
      <c r="G118" s="38">
        <v>420</v>
      </c>
      <c r="H118" s="38">
        <v>476</v>
      </c>
      <c r="I118" s="153">
        <v>505</v>
      </c>
      <c r="J118" s="38">
        <v>517</v>
      </c>
    </row>
    <row r="119" spans="2:10" x14ac:dyDescent="0.25">
      <c r="B119" s="47" t="s">
        <v>79</v>
      </c>
      <c r="C119" s="21">
        <v>5</v>
      </c>
      <c r="D119" s="21">
        <v>5</v>
      </c>
      <c r="E119" s="21">
        <v>5</v>
      </c>
      <c r="F119" s="21">
        <v>5</v>
      </c>
      <c r="G119" s="38">
        <v>9</v>
      </c>
      <c r="H119" s="38">
        <v>9</v>
      </c>
      <c r="I119" s="153">
        <v>9</v>
      </c>
      <c r="J119" s="38">
        <v>9</v>
      </c>
    </row>
    <row r="120" spans="2:10" x14ac:dyDescent="0.25">
      <c r="B120" s="2"/>
      <c r="C120" s="2"/>
      <c r="D120" s="2"/>
      <c r="E120" s="2"/>
      <c r="F120" s="2"/>
      <c r="G120" s="36"/>
      <c r="H120" s="36"/>
      <c r="I120" s="158"/>
      <c r="J120" s="36"/>
    </row>
    <row r="121" spans="2:10" x14ac:dyDescent="0.25">
      <c r="B121" s="41" t="s">
        <v>75</v>
      </c>
      <c r="C121" s="2"/>
      <c r="D121" s="2"/>
      <c r="E121" s="2"/>
      <c r="F121" s="2"/>
      <c r="G121" s="36"/>
      <c r="H121" s="36"/>
      <c r="I121" s="158"/>
      <c r="J121" s="36"/>
    </row>
    <row r="122" spans="2:10" x14ac:dyDescent="0.25">
      <c r="B122" s="47" t="s">
        <v>77</v>
      </c>
      <c r="C122" s="2">
        <v>32</v>
      </c>
      <c r="D122" s="2">
        <v>31</v>
      </c>
      <c r="E122" s="2">
        <v>31</v>
      </c>
      <c r="F122" s="2">
        <v>32</v>
      </c>
      <c r="G122" s="38">
        <v>32</v>
      </c>
      <c r="H122" s="38">
        <v>32</v>
      </c>
      <c r="I122" s="153">
        <v>36</v>
      </c>
      <c r="J122" s="38">
        <v>35</v>
      </c>
    </row>
    <row r="123" spans="2:10" x14ac:dyDescent="0.25">
      <c r="B123" s="14" t="s">
        <v>80</v>
      </c>
      <c r="C123" s="2"/>
      <c r="D123" s="2"/>
      <c r="E123" s="2"/>
      <c r="F123" s="2"/>
      <c r="G123" s="38"/>
      <c r="H123" s="38"/>
      <c r="I123" s="153"/>
      <c r="J123" s="38"/>
    </row>
    <row r="124" spans="2:10" x14ac:dyDescent="0.25">
      <c r="B124" s="47" t="s">
        <v>78</v>
      </c>
      <c r="C124" s="21">
        <v>240</v>
      </c>
      <c r="D124" s="21">
        <v>259</v>
      </c>
      <c r="E124" s="21">
        <v>288</v>
      </c>
      <c r="F124" s="21">
        <v>284</v>
      </c>
      <c r="G124" s="101">
        <v>331</v>
      </c>
      <c r="H124" s="101">
        <v>339</v>
      </c>
      <c r="I124" s="132">
        <v>310</v>
      </c>
      <c r="J124" s="101">
        <v>328</v>
      </c>
    </row>
    <row r="125" spans="2:10" x14ac:dyDescent="0.25">
      <c r="B125" s="47" t="s">
        <v>79</v>
      </c>
      <c r="C125" s="21">
        <v>9</v>
      </c>
      <c r="D125" s="21">
        <v>8</v>
      </c>
      <c r="E125" s="50">
        <v>9</v>
      </c>
      <c r="F125" s="50">
        <v>9</v>
      </c>
      <c r="G125" s="101">
        <v>9</v>
      </c>
      <c r="H125" s="101">
        <v>8</v>
      </c>
      <c r="I125" s="132">
        <v>9</v>
      </c>
      <c r="J125" s="101">
        <v>5</v>
      </c>
    </row>
    <row r="126" spans="2:10" x14ac:dyDescent="0.25">
      <c r="B126" s="2"/>
      <c r="C126" s="2"/>
      <c r="D126" s="2"/>
      <c r="E126" s="2"/>
      <c r="F126" s="2"/>
      <c r="G126" s="22"/>
      <c r="H126" s="22"/>
      <c r="I126" s="22"/>
      <c r="J126" s="151"/>
    </row>
    <row r="127" spans="2:10" x14ac:dyDescent="0.25">
      <c r="B127" s="41" t="s">
        <v>76</v>
      </c>
      <c r="C127" s="13">
        <f t="shared" ref="C127:D127" si="9">C110+C116+C122</f>
        <v>88</v>
      </c>
      <c r="D127" s="13">
        <f t="shared" si="9"/>
        <v>87</v>
      </c>
      <c r="E127" s="13">
        <f t="shared" ref="E127:J127" si="10">E110+E116+E122</f>
        <v>85</v>
      </c>
      <c r="F127" s="13">
        <f t="shared" si="10"/>
        <v>84</v>
      </c>
      <c r="G127" s="13">
        <f t="shared" si="10"/>
        <v>83</v>
      </c>
      <c r="H127" s="13">
        <f t="shared" si="10"/>
        <v>83</v>
      </c>
      <c r="I127" s="13">
        <f t="shared" si="10"/>
        <v>87</v>
      </c>
      <c r="J127" s="13">
        <f t="shared" si="10"/>
        <v>87</v>
      </c>
    </row>
    <row r="128" spans="2:10" x14ac:dyDescent="0.25">
      <c r="B128" s="9"/>
      <c r="C128" s="22"/>
      <c r="D128" s="22"/>
      <c r="E128" s="22"/>
      <c r="F128" s="22"/>
      <c r="G128" s="22"/>
      <c r="H128" s="22"/>
    </row>
    <row r="129" spans="2:2" x14ac:dyDescent="0.25">
      <c r="B129" s="89"/>
    </row>
    <row r="130" spans="2:2" x14ac:dyDescent="0.25">
      <c r="B130" s="9"/>
    </row>
    <row r="131" spans="2:2" x14ac:dyDescent="0.25">
      <c r="B131" s="10"/>
    </row>
    <row r="132" spans="2:2" x14ac:dyDescent="0.25">
      <c r="B132" s="6"/>
    </row>
    <row r="133" spans="2:2" x14ac:dyDescent="0.25">
      <c r="B133" s="6"/>
    </row>
  </sheetData>
  <pageMargins left="0.7" right="0.7" top="0.75" bottom="0.75" header="0.3" footer="0.3"/>
  <pageSetup paperSize="9" orientation="portrait" r:id="rId1"/>
  <ignoredErrors>
    <ignoredError sqref="C23:G23 C49:E49 C75:G75 C101:G101 G4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134"/>
  <sheetViews>
    <sheetView zoomScaleNormal="100" workbookViewId="0">
      <pane ySplit="2" topLeftCell="A111"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0" ht="18.75" x14ac:dyDescent="0.3">
      <c r="B2" s="4" t="s">
        <v>11</v>
      </c>
    </row>
    <row r="3" spans="2:10" ht="18.75" x14ac:dyDescent="0.3">
      <c r="B3" s="4"/>
    </row>
    <row r="4" spans="2:10" ht="18.75" x14ac:dyDescent="0.3">
      <c r="B4" s="18" t="s">
        <v>284</v>
      </c>
      <c r="C4" s="19">
        <v>2014</v>
      </c>
      <c r="D4" s="19">
        <v>2015</v>
      </c>
      <c r="E4" s="19">
        <v>2016</v>
      </c>
      <c r="F4" s="19">
        <v>2017</v>
      </c>
      <c r="G4" s="19">
        <v>2018</v>
      </c>
      <c r="H4" s="19">
        <v>2019</v>
      </c>
      <c r="I4" s="19">
        <v>2020</v>
      </c>
      <c r="J4" s="19">
        <v>2021</v>
      </c>
    </row>
    <row r="5" spans="2:10" x14ac:dyDescent="0.25">
      <c r="B5" s="41" t="s">
        <v>66</v>
      </c>
      <c r="C5" s="22"/>
      <c r="D5" s="22"/>
      <c r="E5" s="22"/>
      <c r="F5" s="22"/>
      <c r="G5" s="22"/>
      <c r="H5" s="22"/>
      <c r="I5" s="151"/>
      <c r="J5" s="151"/>
    </row>
    <row r="6" spans="2:10" x14ac:dyDescent="0.25">
      <c r="B6" s="14" t="s">
        <v>85</v>
      </c>
      <c r="C6" s="13">
        <v>1298</v>
      </c>
      <c r="D6" s="12">
        <v>1203</v>
      </c>
      <c r="E6" s="12">
        <v>1099</v>
      </c>
      <c r="F6" s="12">
        <v>1119</v>
      </c>
      <c r="G6" s="28">
        <v>1101</v>
      </c>
      <c r="H6" s="13">
        <v>1127</v>
      </c>
      <c r="I6" s="28">
        <v>1126</v>
      </c>
      <c r="J6" s="28">
        <v>1093.4000000000001</v>
      </c>
    </row>
    <row r="7" spans="2:10" x14ac:dyDescent="0.25">
      <c r="B7" s="14" t="s">
        <v>86</v>
      </c>
      <c r="C7" s="12">
        <v>1213</v>
      </c>
      <c r="D7" s="12">
        <v>1079</v>
      </c>
      <c r="E7" s="12">
        <v>1047.8</v>
      </c>
      <c r="F7" s="12">
        <v>1050</v>
      </c>
      <c r="G7" s="28">
        <v>1071.9000000000001</v>
      </c>
      <c r="H7" s="13">
        <v>1115</v>
      </c>
      <c r="I7" s="28">
        <v>1057</v>
      </c>
      <c r="J7" s="28">
        <v>1082.7</v>
      </c>
    </row>
    <row r="8" spans="2:10" x14ac:dyDescent="0.25">
      <c r="B8" s="15" t="s">
        <v>87</v>
      </c>
      <c r="C8" s="36">
        <f>+C7/C6*100</f>
        <v>93.451463790446837</v>
      </c>
      <c r="D8" s="36">
        <f t="shared" ref="D8:J8" si="0">+D7/D6*100</f>
        <v>89.692435577722364</v>
      </c>
      <c r="E8" s="36">
        <f t="shared" si="0"/>
        <v>95.341219290263865</v>
      </c>
      <c r="F8" s="36">
        <f t="shared" si="0"/>
        <v>93.833780160857899</v>
      </c>
      <c r="G8" s="36">
        <f t="shared" si="0"/>
        <v>97.356948228882842</v>
      </c>
      <c r="H8" s="36">
        <f t="shared" si="0"/>
        <v>98.935226264418802</v>
      </c>
      <c r="I8" s="36">
        <f t="shared" si="0"/>
        <v>93.8721136767318</v>
      </c>
      <c r="J8" s="36">
        <f t="shared" si="0"/>
        <v>99.021401134077195</v>
      </c>
    </row>
    <row r="9" spans="2:10" x14ac:dyDescent="0.25">
      <c r="B9" s="2"/>
      <c r="C9" s="2"/>
      <c r="D9" s="2"/>
      <c r="E9" s="2"/>
      <c r="F9" s="2"/>
      <c r="G9" s="28"/>
      <c r="H9" s="28"/>
      <c r="I9" s="28"/>
      <c r="J9" s="28"/>
    </row>
    <row r="10" spans="2:10" x14ac:dyDescent="0.25">
      <c r="B10" s="41" t="s">
        <v>82</v>
      </c>
      <c r="C10" s="13"/>
      <c r="D10" s="13"/>
      <c r="E10" s="2"/>
      <c r="F10" s="2"/>
      <c r="G10" s="28"/>
      <c r="H10" s="28"/>
      <c r="I10" s="28"/>
      <c r="J10" s="28"/>
    </row>
    <row r="11" spans="2:10" x14ac:dyDescent="0.25">
      <c r="B11" s="14" t="s">
        <v>85</v>
      </c>
      <c r="C11" s="13">
        <v>921</v>
      </c>
      <c r="D11" s="13">
        <v>931</v>
      </c>
      <c r="E11" s="12">
        <v>898.2</v>
      </c>
      <c r="F11" s="2">
        <v>885</v>
      </c>
      <c r="G11" s="28">
        <v>942.4</v>
      </c>
      <c r="H11" s="28">
        <v>1012</v>
      </c>
      <c r="I11" s="28">
        <v>1060</v>
      </c>
      <c r="J11" s="28">
        <v>1069</v>
      </c>
    </row>
    <row r="12" spans="2:10" x14ac:dyDescent="0.25">
      <c r="B12" s="14" t="s">
        <v>86</v>
      </c>
      <c r="C12" s="12">
        <v>880</v>
      </c>
      <c r="D12" s="13">
        <v>849</v>
      </c>
      <c r="E12" s="12">
        <v>848.6</v>
      </c>
      <c r="F12" s="2">
        <v>854</v>
      </c>
      <c r="G12" s="28">
        <v>935.9</v>
      </c>
      <c r="H12" s="28">
        <v>1003</v>
      </c>
      <c r="I12" s="28">
        <v>1053</v>
      </c>
      <c r="J12" s="28">
        <v>1086</v>
      </c>
    </row>
    <row r="13" spans="2:10" x14ac:dyDescent="0.25">
      <c r="B13" s="15" t="s">
        <v>87</v>
      </c>
      <c r="C13" s="98">
        <f>+C12/C11*100</f>
        <v>95.548317046688382</v>
      </c>
      <c r="D13" s="98">
        <f t="shared" ref="D13:J13" si="1">+D12/D11*100</f>
        <v>91.192266380236305</v>
      </c>
      <c r="E13" s="98">
        <f t="shared" si="1"/>
        <v>94.47784457804498</v>
      </c>
      <c r="F13" s="98">
        <f t="shared" si="1"/>
        <v>96.497175141242934</v>
      </c>
      <c r="G13" s="98">
        <f t="shared" si="1"/>
        <v>99.310271646859078</v>
      </c>
      <c r="H13" s="98">
        <f t="shared" si="1"/>
        <v>99.110671936758905</v>
      </c>
      <c r="I13" s="98">
        <f t="shared" si="1"/>
        <v>99.339622641509422</v>
      </c>
      <c r="J13" s="28">
        <f t="shared" si="1"/>
        <v>101.59027128157156</v>
      </c>
    </row>
    <row r="14" spans="2:10" x14ac:dyDescent="0.25">
      <c r="B14" s="2"/>
      <c r="C14" s="13"/>
      <c r="D14" s="13"/>
      <c r="E14" s="2"/>
      <c r="F14" s="2"/>
      <c r="G14" s="13"/>
      <c r="H14" s="13"/>
      <c r="I14" s="13"/>
      <c r="J14" s="28"/>
    </row>
    <row r="15" spans="2:10" x14ac:dyDescent="0.25">
      <c r="B15" s="41" t="s">
        <v>83</v>
      </c>
      <c r="C15" s="13"/>
      <c r="D15" s="13"/>
      <c r="E15" s="2"/>
      <c r="F15" s="2"/>
      <c r="G15" s="13"/>
      <c r="H15" s="13"/>
      <c r="I15" s="13"/>
      <c r="J15" s="28"/>
    </row>
    <row r="16" spans="2:10" x14ac:dyDescent="0.25">
      <c r="B16" s="14" t="s">
        <v>85</v>
      </c>
      <c r="C16" s="13">
        <v>1802</v>
      </c>
      <c r="D16" s="13">
        <v>1641.9</v>
      </c>
      <c r="E16" s="13">
        <v>1592.9</v>
      </c>
      <c r="F16" s="13">
        <v>1609</v>
      </c>
      <c r="G16" s="13">
        <v>1712.1</v>
      </c>
      <c r="H16" s="13">
        <v>1802</v>
      </c>
      <c r="I16" s="13">
        <v>1888</v>
      </c>
      <c r="J16" s="28">
        <v>1997</v>
      </c>
    </row>
    <row r="17" spans="2:10" x14ac:dyDescent="0.25">
      <c r="B17" s="14" t="s">
        <v>86</v>
      </c>
      <c r="C17" s="12">
        <v>1691</v>
      </c>
      <c r="D17" s="13">
        <v>1493.9</v>
      </c>
      <c r="E17" s="12">
        <v>1524</v>
      </c>
      <c r="F17" s="12">
        <v>1546</v>
      </c>
      <c r="G17" s="13">
        <v>1730.6</v>
      </c>
      <c r="H17" s="13">
        <v>1856</v>
      </c>
      <c r="I17" s="13">
        <v>1975</v>
      </c>
      <c r="J17" s="28">
        <v>2000</v>
      </c>
    </row>
    <row r="18" spans="2:10" x14ac:dyDescent="0.25">
      <c r="B18" s="15" t="s">
        <v>87</v>
      </c>
      <c r="C18" s="98">
        <f>+C17/C16*100</f>
        <v>93.840177580466147</v>
      </c>
      <c r="D18" s="98">
        <f t="shared" ref="D18:G18" si="2">+D17/D16*100</f>
        <v>90.986052743772461</v>
      </c>
      <c r="E18" s="98">
        <f t="shared" si="2"/>
        <v>95.674555841546862</v>
      </c>
      <c r="F18" s="98">
        <f t="shared" si="2"/>
        <v>96.084524549409565</v>
      </c>
      <c r="G18" s="98">
        <f t="shared" si="2"/>
        <v>101.08054436072661</v>
      </c>
      <c r="H18" s="98">
        <f t="shared" ref="H18:J18" si="3">+H17/H16*100</f>
        <v>102.99667036625971</v>
      </c>
      <c r="I18" s="98">
        <f t="shared" si="3"/>
        <v>104.60805084745763</v>
      </c>
      <c r="J18" s="28">
        <f t="shared" si="3"/>
        <v>100.15022533800702</v>
      </c>
    </row>
    <row r="19" spans="2:10" x14ac:dyDescent="0.25">
      <c r="B19" s="2"/>
      <c r="C19" s="13"/>
      <c r="D19" s="13"/>
      <c r="E19" s="2"/>
      <c r="F19" s="2"/>
      <c r="G19" s="13"/>
      <c r="H19" s="13"/>
      <c r="I19" s="13"/>
      <c r="J19" s="28"/>
    </row>
    <row r="20" spans="2:10" x14ac:dyDescent="0.25">
      <c r="B20" s="41" t="s">
        <v>84</v>
      </c>
      <c r="C20" s="13"/>
      <c r="D20" s="13"/>
      <c r="E20" s="2"/>
      <c r="F20" s="2"/>
      <c r="G20" s="13"/>
      <c r="H20" s="13"/>
      <c r="I20" s="13"/>
      <c r="J20" s="28"/>
    </row>
    <row r="21" spans="2:10" x14ac:dyDescent="0.25">
      <c r="B21" s="14" t="s">
        <v>85</v>
      </c>
      <c r="C21" s="13">
        <v>4021</v>
      </c>
      <c r="D21" s="13">
        <v>3777</v>
      </c>
      <c r="E21" s="13">
        <v>3590.2</v>
      </c>
      <c r="F21" s="13">
        <v>3614</v>
      </c>
      <c r="G21" s="13">
        <v>3755.6</v>
      </c>
      <c r="H21" s="13">
        <v>3940</v>
      </c>
      <c r="I21" s="13">
        <v>4073</v>
      </c>
      <c r="J21" s="28">
        <v>4160</v>
      </c>
    </row>
    <row r="22" spans="2:10" x14ac:dyDescent="0.25">
      <c r="B22" s="14" t="s">
        <v>86</v>
      </c>
      <c r="C22" s="13">
        <v>3784</v>
      </c>
      <c r="D22" s="13">
        <v>3421.6</v>
      </c>
      <c r="E22" s="13">
        <v>3420.5</v>
      </c>
      <c r="F22" s="13">
        <v>3450</v>
      </c>
      <c r="G22" s="13">
        <v>3738.4</v>
      </c>
      <c r="H22" s="13">
        <v>3975</v>
      </c>
      <c r="I22" s="13">
        <v>4085</v>
      </c>
      <c r="J22" s="28">
        <v>4169</v>
      </c>
    </row>
    <row r="23" spans="2:10" x14ac:dyDescent="0.25">
      <c r="B23" s="15" t="s">
        <v>87</v>
      </c>
      <c r="C23" s="98">
        <f>+C22/C21*100</f>
        <v>94.105943795075859</v>
      </c>
      <c r="D23" s="98">
        <f t="shared" ref="D23:F23" si="4">+D22/D21*100</f>
        <v>90.590415673815201</v>
      </c>
      <c r="E23" s="98">
        <f t="shared" si="4"/>
        <v>95.273243830427276</v>
      </c>
      <c r="F23" s="98">
        <f t="shared" si="4"/>
        <v>95.462091864969565</v>
      </c>
      <c r="G23" s="98">
        <f>+G22/G21*100</f>
        <v>99.542017254233684</v>
      </c>
      <c r="H23" s="98">
        <f>+H22/H21*100</f>
        <v>100.88832487309645</v>
      </c>
      <c r="I23" s="98">
        <f t="shared" ref="I23:J23" si="5">+I22/I21*100</f>
        <v>100.29462312791554</v>
      </c>
      <c r="J23" s="28">
        <f t="shared" si="5"/>
        <v>100.21634615384616</v>
      </c>
    </row>
    <row r="24" spans="2:10" x14ac:dyDescent="0.25">
      <c r="B24" s="9"/>
      <c r="J24" s="161"/>
    </row>
    <row r="25" spans="2:10" x14ac:dyDescent="0.25">
      <c r="B25" s="89" t="s">
        <v>283</v>
      </c>
      <c r="J25" s="161"/>
    </row>
    <row r="26" spans="2:10" x14ac:dyDescent="0.25">
      <c r="B26" s="141" t="s">
        <v>348</v>
      </c>
      <c r="J26" s="161"/>
    </row>
    <row r="27" spans="2:10" x14ac:dyDescent="0.25">
      <c r="B27" s="10"/>
      <c r="J27" s="161"/>
    </row>
    <row r="28" spans="2:10" x14ac:dyDescent="0.25">
      <c r="B28" s="6"/>
      <c r="J28" s="161"/>
    </row>
    <row r="29" spans="2:10" x14ac:dyDescent="0.25">
      <c r="B29" s="6"/>
      <c r="J29" s="161"/>
    </row>
    <row r="30" spans="2:10" ht="18.75" x14ac:dyDescent="0.3">
      <c r="B30" s="18" t="s">
        <v>287</v>
      </c>
      <c r="C30" s="19">
        <v>2014</v>
      </c>
      <c r="D30" s="19">
        <v>2015</v>
      </c>
      <c r="E30" s="19">
        <v>2016</v>
      </c>
      <c r="F30" s="19">
        <v>2017</v>
      </c>
      <c r="G30" s="19">
        <v>2018</v>
      </c>
      <c r="H30" s="19">
        <v>2019</v>
      </c>
      <c r="I30" s="19">
        <v>2020</v>
      </c>
      <c r="J30" s="19">
        <v>2021</v>
      </c>
    </row>
    <row r="31" spans="2:10" x14ac:dyDescent="0.25">
      <c r="B31" s="41" t="s">
        <v>66</v>
      </c>
      <c r="J31" s="161"/>
    </row>
    <row r="32" spans="2:10" x14ac:dyDescent="0.25">
      <c r="B32" s="14" t="s">
        <v>85</v>
      </c>
      <c r="C32" s="2">
        <v>939</v>
      </c>
      <c r="D32" s="2">
        <v>927</v>
      </c>
      <c r="E32" s="2">
        <v>965</v>
      </c>
      <c r="F32" s="2">
        <v>980</v>
      </c>
      <c r="G32" s="2">
        <v>973</v>
      </c>
      <c r="H32" s="2">
        <v>965</v>
      </c>
      <c r="I32" s="2">
        <v>941</v>
      </c>
      <c r="J32" s="2">
        <v>977</v>
      </c>
    </row>
    <row r="33" spans="2:10" x14ac:dyDescent="0.25">
      <c r="B33" s="14" t="s">
        <v>86</v>
      </c>
      <c r="C33" s="2">
        <v>740</v>
      </c>
      <c r="D33" s="2">
        <v>750</v>
      </c>
      <c r="E33" s="2">
        <v>812</v>
      </c>
      <c r="F33" s="2">
        <v>842</v>
      </c>
      <c r="G33" s="2">
        <v>812</v>
      </c>
      <c r="H33" s="2">
        <v>809</v>
      </c>
      <c r="I33" s="2">
        <v>767</v>
      </c>
      <c r="J33" s="2">
        <v>807</v>
      </c>
    </row>
    <row r="34" spans="2:10" x14ac:dyDescent="0.25">
      <c r="B34" s="15" t="s">
        <v>87</v>
      </c>
      <c r="C34" s="98">
        <f t="shared" ref="C34:G34" si="6">C33/C32*100</f>
        <v>78.807241746538864</v>
      </c>
      <c r="D34" s="36">
        <f t="shared" si="6"/>
        <v>80.906148867313917</v>
      </c>
      <c r="E34" s="36">
        <f t="shared" si="6"/>
        <v>84.145077720207254</v>
      </c>
      <c r="F34" s="36">
        <f t="shared" si="6"/>
        <v>85.91836734693878</v>
      </c>
      <c r="G34" s="36">
        <f t="shared" si="6"/>
        <v>83.453237410071949</v>
      </c>
      <c r="H34" s="36">
        <f t="shared" ref="H34:I34" si="7">H33/H32*100</f>
        <v>83.834196891191709</v>
      </c>
      <c r="I34" s="36">
        <f t="shared" si="7"/>
        <v>81.509032943676942</v>
      </c>
      <c r="J34" s="36">
        <f t="shared" ref="J34" si="8">J33/J32*100</f>
        <v>82.599795291709313</v>
      </c>
    </row>
    <row r="35" spans="2:10" x14ac:dyDescent="0.25">
      <c r="B35" s="2"/>
      <c r="C35" s="2"/>
      <c r="D35" s="2"/>
      <c r="E35" s="2"/>
      <c r="F35" s="2"/>
      <c r="G35" s="2"/>
      <c r="H35" s="2"/>
      <c r="I35" s="2"/>
      <c r="J35" s="2"/>
    </row>
    <row r="36" spans="2:10" x14ac:dyDescent="0.25">
      <c r="B36" s="41" t="s">
        <v>82</v>
      </c>
      <c r="C36" s="2"/>
      <c r="D36" s="2"/>
      <c r="E36" s="2"/>
      <c r="F36" s="2"/>
      <c r="G36" s="2"/>
      <c r="H36" s="2"/>
      <c r="I36" s="2"/>
      <c r="J36" s="2"/>
    </row>
    <row r="37" spans="2:10" x14ac:dyDescent="0.25">
      <c r="B37" s="14" t="s">
        <v>85</v>
      </c>
      <c r="C37" s="13">
        <v>2155</v>
      </c>
      <c r="D37" s="13">
        <v>2120</v>
      </c>
      <c r="E37" s="13">
        <v>2095</v>
      </c>
      <c r="F37" s="13">
        <v>1955</v>
      </c>
      <c r="G37" s="13">
        <v>1957</v>
      </c>
      <c r="H37" s="13">
        <v>1949</v>
      </c>
      <c r="I37" s="13">
        <v>1978</v>
      </c>
      <c r="J37" s="13">
        <v>2030</v>
      </c>
    </row>
    <row r="38" spans="2:10" x14ac:dyDescent="0.25">
      <c r="B38" s="14" t="s">
        <v>86</v>
      </c>
      <c r="C38" s="39">
        <v>2172</v>
      </c>
      <c r="D38" s="39">
        <v>2098</v>
      </c>
      <c r="E38" s="39">
        <v>2096</v>
      </c>
      <c r="F38" s="39">
        <v>1969</v>
      </c>
      <c r="G38" s="13">
        <v>1884</v>
      </c>
      <c r="H38" s="13">
        <v>1919</v>
      </c>
      <c r="I38" s="13">
        <v>1801</v>
      </c>
      <c r="J38" s="13">
        <v>1767</v>
      </c>
    </row>
    <row r="39" spans="2:10" x14ac:dyDescent="0.25">
      <c r="B39" s="15" t="s">
        <v>87</v>
      </c>
      <c r="C39" s="98">
        <f t="shared" ref="C39:G39" si="9">C38/C37*100</f>
        <v>100.78886310904873</v>
      </c>
      <c r="D39" s="36">
        <f t="shared" si="9"/>
        <v>98.962264150943398</v>
      </c>
      <c r="E39" s="36">
        <f t="shared" si="9"/>
        <v>100.04773269689737</v>
      </c>
      <c r="F39" s="36">
        <f t="shared" si="9"/>
        <v>100.7161125319693</v>
      </c>
      <c r="G39" s="36">
        <f t="shared" si="9"/>
        <v>96.269800715380683</v>
      </c>
      <c r="H39" s="36">
        <f t="shared" ref="H39:I39" si="10">H38/H37*100</f>
        <v>98.460749102103634</v>
      </c>
      <c r="I39" s="36">
        <f t="shared" si="10"/>
        <v>91.051567239636</v>
      </c>
      <c r="J39" s="36">
        <f t="shared" ref="J39" si="11">J38/J37*100</f>
        <v>87.044334975369452</v>
      </c>
    </row>
    <row r="40" spans="2:10" x14ac:dyDescent="0.25">
      <c r="B40" s="2"/>
      <c r="C40" s="2"/>
      <c r="D40" s="2"/>
      <c r="E40" s="2"/>
      <c r="F40" s="2"/>
      <c r="G40" s="2"/>
      <c r="H40" s="2"/>
      <c r="I40" s="2"/>
      <c r="J40" s="2"/>
    </row>
    <row r="41" spans="2:10" x14ac:dyDescent="0.25">
      <c r="B41" s="41" t="s">
        <v>288</v>
      </c>
      <c r="C41" s="2"/>
      <c r="D41" s="2"/>
      <c r="E41" s="2"/>
      <c r="F41" s="2"/>
      <c r="G41" s="2"/>
      <c r="H41" s="2"/>
      <c r="I41" s="2"/>
      <c r="J41" s="2"/>
    </row>
    <row r="42" spans="2:10" x14ac:dyDescent="0.25">
      <c r="B42" s="14" t="s">
        <v>85</v>
      </c>
      <c r="C42" s="2"/>
      <c r="D42" s="2"/>
      <c r="E42" s="2"/>
      <c r="F42" s="2"/>
      <c r="G42" s="2"/>
      <c r="H42" s="2"/>
      <c r="I42" s="2"/>
      <c r="J42" s="2"/>
    </row>
    <row r="43" spans="2:10" x14ac:dyDescent="0.25">
      <c r="B43" s="14" t="s">
        <v>86</v>
      </c>
      <c r="C43" s="2"/>
      <c r="D43" s="2"/>
      <c r="E43" s="2"/>
      <c r="F43" s="2"/>
      <c r="G43" s="2"/>
      <c r="H43" s="2"/>
      <c r="I43" s="2"/>
      <c r="J43" s="2"/>
    </row>
    <row r="44" spans="2:10" x14ac:dyDescent="0.25">
      <c r="B44" s="15" t="s">
        <v>87</v>
      </c>
      <c r="C44" s="2"/>
      <c r="D44" s="2"/>
      <c r="E44" s="2"/>
      <c r="F44" s="2"/>
      <c r="G44" s="2"/>
      <c r="H44" s="2"/>
      <c r="I44" s="2"/>
      <c r="J44" s="2"/>
    </row>
    <row r="45" spans="2:10" x14ac:dyDescent="0.25">
      <c r="B45" s="2"/>
      <c r="C45" s="2"/>
      <c r="D45" s="2"/>
      <c r="E45" s="2"/>
      <c r="F45" s="2"/>
      <c r="G45" s="2"/>
      <c r="H45" s="2"/>
      <c r="I45" s="2"/>
      <c r="J45" s="2"/>
    </row>
    <row r="46" spans="2:10" x14ac:dyDescent="0.25">
      <c r="B46" s="41" t="s">
        <v>84</v>
      </c>
      <c r="C46" s="2"/>
      <c r="D46" s="2"/>
      <c r="E46" s="2"/>
      <c r="F46" s="2"/>
      <c r="G46" s="2"/>
      <c r="H46" s="2"/>
      <c r="I46" s="2"/>
      <c r="J46" s="2"/>
    </row>
    <row r="47" spans="2:10" x14ac:dyDescent="0.25">
      <c r="B47" s="14" t="s">
        <v>85</v>
      </c>
      <c r="C47" s="13">
        <f t="shared" ref="C47:F47" si="12">SUM(C32,C37)</f>
        <v>3094</v>
      </c>
      <c r="D47" s="13">
        <f t="shared" si="12"/>
        <v>3047</v>
      </c>
      <c r="E47" s="13">
        <f t="shared" si="12"/>
        <v>3060</v>
      </c>
      <c r="F47" s="13">
        <f t="shared" si="12"/>
        <v>2935</v>
      </c>
      <c r="G47" s="13">
        <f t="shared" ref="G47:I47" si="13">SUM(G32,G37)</f>
        <v>2930</v>
      </c>
      <c r="H47" s="13">
        <f t="shared" ref="H47:J47" si="14">SUM(H32,H37)</f>
        <v>2914</v>
      </c>
      <c r="I47" s="13">
        <f t="shared" si="13"/>
        <v>2919</v>
      </c>
      <c r="J47" s="13">
        <f t="shared" si="14"/>
        <v>3007</v>
      </c>
    </row>
    <row r="48" spans="2:10" x14ac:dyDescent="0.25">
      <c r="B48" s="14" t="s">
        <v>86</v>
      </c>
      <c r="C48" s="13">
        <f t="shared" ref="C48:F48" si="15">C33+C38</f>
        <v>2912</v>
      </c>
      <c r="D48" s="13">
        <f t="shared" si="15"/>
        <v>2848</v>
      </c>
      <c r="E48" s="13">
        <f t="shared" si="15"/>
        <v>2908</v>
      </c>
      <c r="F48" s="13">
        <f t="shared" si="15"/>
        <v>2811</v>
      </c>
      <c r="G48" s="13">
        <f t="shared" ref="G48:I48" si="16">G33+G38</f>
        <v>2696</v>
      </c>
      <c r="H48" s="13">
        <f t="shared" ref="H48:J48" si="17">H33+H38</f>
        <v>2728</v>
      </c>
      <c r="I48" s="13">
        <f t="shared" si="16"/>
        <v>2568</v>
      </c>
      <c r="J48" s="13">
        <f t="shared" si="17"/>
        <v>2574</v>
      </c>
    </row>
    <row r="49" spans="2:10" x14ac:dyDescent="0.25">
      <c r="B49" s="15" t="s">
        <v>87</v>
      </c>
      <c r="C49" s="98">
        <f t="shared" ref="C49:F49" si="18">C48/C47*100</f>
        <v>94.117647058823522</v>
      </c>
      <c r="D49" s="36">
        <f t="shared" si="18"/>
        <v>93.46898588775845</v>
      </c>
      <c r="E49" s="36">
        <f t="shared" si="18"/>
        <v>95.032679738562081</v>
      </c>
      <c r="F49" s="36">
        <f t="shared" si="18"/>
        <v>95.775127768313467</v>
      </c>
      <c r="G49" s="36">
        <f t="shared" ref="G49:H49" si="19">G48/G47*100</f>
        <v>92.0136518771331</v>
      </c>
      <c r="H49" s="36">
        <f t="shared" si="19"/>
        <v>93.61702127659575</v>
      </c>
      <c r="I49" s="36">
        <f t="shared" ref="I49:J49" si="20">I48/I47*100</f>
        <v>87.975334018499481</v>
      </c>
      <c r="J49" s="36">
        <f t="shared" si="20"/>
        <v>85.600266045892909</v>
      </c>
    </row>
    <row r="50" spans="2:10" x14ac:dyDescent="0.25">
      <c r="B50" s="9"/>
      <c r="J50" s="161"/>
    </row>
    <row r="51" spans="2:10" x14ac:dyDescent="0.25">
      <c r="B51" s="89" t="s">
        <v>285</v>
      </c>
      <c r="J51" s="161"/>
    </row>
    <row r="52" spans="2:10" x14ac:dyDescent="0.25">
      <c r="B52" s="89" t="s">
        <v>286</v>
      </c>
      <c r="J52" s="161"/>
    </row>
    <row r="53" spans="2:10" x14ac:dyDescent="0.25">
      <c r="B53" s="10"/>
      <c r="J53" s="161"/>
    </row>
    <row r="54" spans="2:10" x14ac:dyDescent="0.25">
      <c r="B54" s="6"/>
      <c r="J54" s="161"/>
    </row>
    <row r="55" spans="2:10" x14ac:dyDescent="0.25">
      <c r="B55" s="6"/>
      <c r="J55" s="161"/>
    </row>
    <row r="56" spans="2:10" ht="18.75" x14ac:dyDescent="0.3">
      <c r="B56" s="18" t="s">
        <v>290</v>
      </c>
      <c r="C56" s="19">
        <v>2014</v>
      </c>
      <c r="D56" s="19">
        <v>2015</v>
      </c>
      <c r="E56" s="19">
        <v>2016</v>
      </c>
      <c r="F56" s="19">
        <v>2017</v>
      </c>
      <c r="G56" s="19">
        <v>2018</v>
      </c>
      <c r="H56" s="19">
        <v>2019</v>
      </c>
      <c r="I56" s="19">
        <v>2020</v>
      </c>
      <c r="J56" s="19">
        <v>2021</v>
      </c>
    </row>
    <row r="57" spans="2:10" x14ac:dyDescent="0.25">
      <c r="B57" s="41" t="s">
        <v>66</v>
      </c>
      <c r="J57" s="161"/>
    </row>
    <row r="58" spans="2:10" x14ac:dyDescent="0.25">
      <c r="B58" s="14" t="s">
        <v>85</v>
      </c>
      <c r="C58" s="2">
        <v>42</v>
      </c>
      <c r="D58" s="2">
        <v>44</v>
      </c>
      <c r="E58" s="2">
        <v>44</v>
      </c>
      <c r="F58" s="2">
        <v>45</v>
      </c>
      <c r="G58" s="2">
        <v>44</v>
      </c>
      <c r="H58" s="2">
        <v>44</v>
      </c>
      <c r="I58" s="2">
        <v>42</v>
      </c>
      <c r="J58" s="2">
        <v>42</v>
      </c>
    </row>
    <row r="59" spans="2:10" x14ac:dyDescent="0.25">
      <c r="B59" s="14" t="s">
        <v>86</v>
      </c>
      <c r="C59" s="100">
        <v>41.07</v>
      </c>
      <c r="D59" s="100">
        <v>42.4</v>
      </c>
      <c r="E59" s="100">
        <v>42.7</v>
      </c>
      <c r="F59" s="100">
        <v>42.3</v>
      </c>
      <c r="G59" s="100">
        <v>38.020000000000003</v>
      </c>
      <c r="H59" s="100">
        <v>41.1</v>
      </c>
      <c r="I59" s="100">
        <v>34</v>
      </c>
      <c r="J59" s="100">
        <v>38</v>
      </c>
    </row>
    <row r="60" spans="2:10" x14ac:dyDescent="0.25">
      <c r="B60" s="15" t="s">
        <v>87</v>
      </c>
      <c r="C60" s="112">
        <f t="shared" ref="C60:G60" si="21">C59/C58*100</f>
        <v>97.785714285714292</v>
      </c>
      <c r="D60" s="112">
        <f t="shared" si="21"/>
        <v>96.36363636363636</v>
      </c>
      <c r="E60" s="112">
        <f t="shared" si="21"/>
        <v>97.045454545454561</v>
      </c>
      <c r="F60" s="112">
        <f t="shared" si="21"/>
        <v>94</v>
      </c>
      <c r="G60" s="112">
        <f t="shared" si="21"/>
        <v>86.409090909090907</v>
      </c>
      <c r="H60" s="112">
        <f t="shared" ref="H60:I60" si="22">H59/H58*100</f>
        <v>93.409090909090907</v>
      </c>
      <c r="I60" s="112">
        <f t="shared" si="22"/>
        <v>80.952380952380949</v>
      </c>
      <c r="J60" s="112">
        <f t="shared" ref="J60" si="23">J59/J58*100</f>
        <v>90.476190476190482</v>
      </c>
    </row>
    <row r="61" spans="2:10" x14ac:dyDescent="0.25">
      <c r="B61" s="2"/>
      <c r="C61" s="2"/>
      <c r="D61" s="2"/>
      <c r="E61" s="2"/>
      <c r="F61" s="2"/>
      <c r="G61" s="2"/>
      <c r="H61" s="2"/>
      <c r="I61" s="2"/>
      <c r="J61" s="2"/>
    </row>
    <row r="62" spans="2:10" x14ac:dyDescent="0.25">
      <c r="B62" s="41" t="s">
        <v>82</v>
      </c>
      <c r="C62" s="2"/>
      <c r="D62" s="2"/>
      <c r="E62" s="2"/>
      <c r="F62" s="2"/>
      <c r="G62" s="2"/>
      <c r="H62" s="2"/>
      <c r="I62" s="2"/>
      <c r="J62" s="2"/>
    </row>
    <row r="63" spans="2:10" x14ac:dyDescent="0.25">
      <c r="B63" s="14" t="s">
        <v>85</v>
      </c>
      <c r="C63" s="2">
        <v>112</v>
      </c>
      <c r="D63" s="2">
        <v>105</v>
      </c>
      <c r="E63" s="2">
        <v>99</v>
      </c>
      <c r="F63" s="2">
        <v>110</v>
      </c>
      <c r="G63" s="2">
        <v>110</v>
      </c>
      <c r="H63" s="2">
        <v>125</v>
      </c>
      <c r="I63" s="2">
        <v>125</v>
      </c>
      <c r="J63" s="2">
        <v>135</v>
      </c>
    </row>
    <row r="64" spans="2:10" x14ac:dyDescent="0.25">
      <c r="B64" s="14" t="s">
        <v>86</v>
      </c>
      <c r="C64" s="100">
        <v>99.11</v>
      </c>
      <c r="D64" s="100">
        <v>100.75</v>
      </c>
      <c r="E64" s="100">
        <v>80.599999999999994</v>
      </c>
      <c r="F64" s="100">
        <v>93.7</v>
      </c>
      <c r="G64" s="100">
        <v>99.9</v>
      </c>
      <c r="H64" s="100">
        <v>114.2</v>
      </c>
      <c r="I64" s="100">
        <v>91.9</v>
      </c>
      <c r="J64" s="100">
        <v>96.7</v>
      </c>
    </row>
    <row r="65" spans="2:10" x14ac:dyDescent="0.25">
      <c r="B65" s="15" t="s">
        <v>87</v>
      </c>
      <c r="C65" s="112">
        <f t="shared" ref="C65:G65" si="24">C64/C63*100</f>
        <v>88.491071428571431</v>
      </c>
      <c r="D65" s="112">
        <f t="shared" si="24"/>
        <v>95.952380952380949</v>
      </c>
      <c r="E65" s="112">
        <f t="shared" si="24"/>
        <v>81.414141414141412</v>
      </c>
      <c r="F65" s="112">
        <f t="shared" si="24"/>
        <v>85.181818181818187</v>
      </c>
      <c r="G65" s="112">
        <f t="shared" si="24"/>
        <v>90.818181818181813</v>
      </c>
      <c r="H65" s="112">
        <f t="shared" ref="H65:I65" si="25">H64/H63*100</f>
        <v>91.36</v>
      </c>
      <c r="I65" s="112">
        <f t="shared" si="25"/>
        <v>73.52000000000001</v>
      </c>
      <c r="J65" s="112">
        <f t="shared" ref="J65" si="26">J64/J63*100</f>
        <v>71.629629629629633</v>
      </c>
    </row>
    <row r="66" spans="2:10" x14ac:dyDescent="0.25">
      <c r="B66" s="2"/>
      <c r="C66" s="2"/>
      <c r="D66" s="2"/>
      <c r="E66" s="2"/>
      <c r="F66" s="2"/>
      <c r="G66" s="2"/>
      <c r="H66" s="2"/>
      <c r="I66" s="2"/>
      <c r="J66" s="2"/>
    </row>
    <row r="67" spans="2:10" x14ac:dyDescent="0.25">
      <c r="B67" s="41" t="s">
        <v>83</v>
      </c>
      <c r="C67" s="2"/>
      <c r="D67" s="2"/>
      <c r="E67" s="2"/>
      <c r="F67" s="2"/>
      <c r="G67" s="2"/>
      <c r="H67" s="2"/>
      <c r="I67" s="2"/>
      <c r="J67" s="2"/>
    </row>
    <row r="68" spans="2:10" x14ac:dyDescent="0.25">
      <c r="B68" s="14" t="s">
        <v>85</v>
      </c>
      <c r="C68" s="2">
        <v>9</v>
      </c>
      <c r="D68" s="2">
        <v>9</v>
      </c>
      <c r="E68" s="2">
        <v>8</v>
      </c>
      <c r="F68" s="2">
        <v>9</v>
      </c>
      <c r="G68" s="2">
        <v>8</v>
      </c>
      <c r="H68" s="2">
        <v>8</v>
      </c>
      <c r="I68" s="2">
        <v>8</v>
      </c>
      <c r="J68" s="2">
        <v>4</v>
      </c>
    </row>
    <row r="69" spans="2:10" x14ac:dyDescent="0.25">
      <c r="B69" s="14" t="s">
        <v>291</v>
      </c>
      <c r="C69" s="100">
        <v>1.62</v>
      </c>
      <c r="D69" s="100">
        <v>2.16</v>
      </c>
      <c r="E69" s="100">
        <v>1.8</v>
      </c>
      <c r="F69" s="100">
        <v>2.5</v>
      </c>
      <c r="G69" s="100">
        <v>2.5499999999999998</v>
      </c>
      <c r="H69" s="100">
        <v>2</v>
      </c>
      <c r="I69" s="100">
        <v>1.5</v>
      </c>
      <c r="J69" s="100">
        <v>1.3</v>
      </c>
    </row>
    <row r="70" spans="2:10" x14ac:dyDescent="0.25">
      <c r="B70" s="15" t="s">
        <v>87</v>
      </c>
      <c r="C70" s="112">
        <f t="shared" ref="C70:G70" si="27">C69/C68*100</f>
        <v>18.000000000000004</v>
      </c>
      <c r="D70" s="112">
        <f t="shared" si="27"/>
        <v>24.000000000000004</v>
      </c>
      <c r="E70" s="112">
        <f t="shared" si="27"/>
        <v>22.5</v>
      </c>
      <c r="F70" s="112">
        <f>F69/F68*100</f>
        <v>27.777777777777779</v>
      </c>
      <c r="G70" s="112">
        <f t="shared" si="27"/>
        <v>31.874999999999996</v>
      </c>
      <c r="H70" s="112">
        <f t="shared" ref="H70:I70" si="28">H69/H68*100</f>
        <v>25</v>
      </c>
      <c r="I70" s="112">
        <f t="shared" si="28"/>
        <v>18.75</v>
      </c>
      <c r="J70" s="112">
        <f t="shared" ref="J70" si="29">J69/J68*100</f>
        <v>32.5</v>
      </c>
    </row>
    <row r="71" spans="2:10" x14ac:dyDescent="0.25">
      <c r="B71" s="2"/>
      <c r="C71" s="2"/>
      <c r="D71" s="2"/>
      <c r="E71" s="2"/>
      <c r="F71" s="2"/>
      <c r="G71" s="2"/>
      <c r="H71" s="2"/>
      <c r="I71" s="2"/>
      <c r="J71" s="2"/>
    </row>
    <row r="72" spans="2:10" x14ac:dyDescent="0.25">
      <c r="B72" s="41" t="s">
        <v>325</v>
      </c>
      <c r="C72" s="2"/>
      <c r="D72" s="2"/>
      <c r="E72" s="2"/>
      <c r="F72" s="2"/>
      <c r="G72" s="2"/>
      <c r="H72" s="2"/>
      <c r="I72" s="2"/>
      <c r="J72" s="2"/>
    </row>
    <row r="73" spans="2:10" x14ac:dyDescent="0.25">
      <c r="B73" s="14" t="s">
        <v>85</v>
      </c>
      <c r="C73" s="100">
        <f t="shared" ref="C73:J73" si="30">C58+C63+C68</f>
        <v>163</v>
      </c>
      <c r="D73" s="100">
        <f t="shared" si="30"/>
        <v>158</v>
      </c>
      <c r="E73" s="100">
        <f t="shared" si="30"/>
        <v>151</v>
      </c>
      <c r="F73" s="100">
        <f t="shared" si="30"/>
        <v>164</v>
      </c>
      <c r="G73" s="100">
        <f t="shared" si="30"/>
        <v>162</v>
      </c>
      <c r="H73" s="100">
        <f t="shared" si="30"/>
        <v>177</v>
      </c>
      <c r="I73" s="100">
        <f t="shared" si="30"/>
        <v>175</v>
      </c>
      <c r="J73" s="100">
        <f t="shared" si="30"/>
        <v>181</v>
      </c>
    </row>
    <row r="74" spans="2:10" x14ac:dyDescent="0.25">
      <c r="B74" s="14" t="s">
        <v>86</v>
      </c>
      <c r="C74" s="100">
        <f t="shared" ref="C74:E74" si="31">C59+C64+C69</f>
        <v>141.80000000000001</v>
      </c>
      <c r="D74" s="100">
        <f t="shared" si="31"/>
        <v>145.31</v>
      </c>
      <c r="E74" s="100">
        <f t="shared" si="31"/>
        <v>125.1</v>
      </c>
      <c r="F74" s="100">
        <f>F59+F64+F69</f>
        <v>138.5</v>
      </c>
      <c r="G74" s="100">
        <f>G59+G64+G69</f>
        <v>140.47000000000003</v>
      </c>
      <c r="H74" s="100">
        <f>H59+H64+H69</f>
        <v>157.30000000000001</v>
      </c>
      <c r="I74" s="100">
        <f>I59+I64+I69</f>
        <v>127.4</v>
      </c>
      <c r="J74" s="100">
        <f>J59+J64+J69</f>
        <v>136</v>
      </c>
    </row>
    <row r="75" spans="2:10" x14ac:dyDescent="0.25">
      <c r="B75" s="15" t="s">
        <v>87</v>
      </c>
      <c r="C75" s="112">
        <f t="shared" ref="C75:E75" si="32">C74/C73*100</f>
        <v>86.993865030674854</v>
      </c>
      <c r="D75" s="112">
        <f t="shared" si="32"/>
        <v>91.968354430379748</v>
      </c>
      <c r="E75" s="112">
        <f t="shared" si="32"/>
        <v>82.847682119205288</v>
      </c>
      <c r="F75" s="112">
        <f>F74/F73*100</f>
        <v>84.451219512195124</v>
      </c>
      <c r="G75" s="112">
        <f>G74/G73*100</f>
        <v>86.709876543209901</v>
      </c>
      <c r="H75" s="112">
        <f>H74/H73*100</f>
        <v>88.870056497175142</v>
      </c>
      <c r="I75" s="112">
        <f>I74/I73*100</f>
        <v>72.8</v>
      </c>
      <c r="J75" s="112">
        <f>J74/J73*100</f>
        <v>75.138121546961329</v>
      </c>
    </row>
    <row r="76" spans="2:10" x14ac:dyDescent="0.25">
      <c r="B76" s="9"/>
      <c r="J76" s="161"/>
    </row>
    <row r="77" spans="2:10" x14ac:dyDescent="0.25">
      <c r="B77" s="89" t="s">
        <v>289</v>
      </c>
      <c r="J77" s="161"/>
    </row>
    <row r="78" spans="2:10" x14ac:dyDescent="0.25">
      <c r="B78" s="89" t="s">
        <v>371</v>
      </c>
      <c r="J78" s="161"/>
    </row>
    <row r="79" spans="2:10" x14ac:dyDescent="0.25">
      <c r="B79" s="90" t="s">
        <v>374</v>
      </c>
      <c r="J79" s="161"/>
    </row>
    <row r="80" spans="2:10" x14ac:dyDescent="0.25">
      <c r="B80" s="89" t="s">
        <v>370</v>
      </c>
      <c r="J80" s="161"/>
    </row>
    <row r="81" spans="2:10" s="154" customFormat="1" x14ac:dyDescent="0.25">
      <c r="B81" s="6"/>
      <c r="J81" s="161"/>
    </row>
    <row r="82" spans="2:10" x14ac:dyDescent="0.25">
      <c r="B82" s="6"/>
      <c r="J82" s="161"/>
    </row>
    <row r="83" spans="2:10" ht="18.75" x14ac:dyDescent="0.3">
      <c r="B83" s="18" t="s">
        <v>293</v>
      </c>
      <c r="C83" s="19">
        <v>2014</v>
      </c>
      <c r="D83" s="19">
        <v>2015</v>
      </c>
      <c r="E83" s="19">
        <v>2016</v>
      </c>
      <c r="F83" s="19">
        <v>2017</v>
      </c>
      <c r="G83" s="19">
        <v>2018</v>
      </c>
      <c r="H83" s="19">
        <v>2019</v>
      </c>
      <c r="I83" s="19">
        <v>2020</v>
      </c>
      <c r="J83" s="19">
        <v>2021</v>
      </c>
    </row>
    <row r="84" spans="2:10" x14ac:dyDescent="0.25">
      <c r="B84" s="41" t="s">
        <v>66</v>
      </c>
      <c r="J84" s="161"/>
    </row>
    <row r="85" spans="2:10" x14ac:dyDescent="0.25">
      <c r="B85" s="14" t="s">
        <v>294</v>
      </c>
      <c r="C85" s="13">
        <f>508874/365</f>
        <v>1394.1753424657534</v>
      </c>
      <c r="D85" s="122">
        <v>1383</v>
      </c>
      <c r="E85" s="122">
        <v>1385</v>
      </c>
      <c r="F85" s="122">
        <v>1365</v>
      </c>
      <c r="G85" s="13">
        <v>1279.5999999999999</v>
      </c>
      <c r="H85" s="13">
        <v>1145.8</v>
      </c>
      <c r="I85" s="13">
        <v>1029</v>
      </c>
      <c r="J85" s="13">
        <v>1065.0306748466257</v>
      </c>
    </row>
    <row r="86" spans="2:10" x14ac:dyDescent="0.25">
      <c r="B86" s="14" t="s">
        <v>86</v>
      </c>
      <c r="C86" s="13">
        <f>487871/365</f>
        <v>1336.6328767123289</v>
      </c>
      <c r="D86" s="122">
        <v>1351</v>
      </c>
      <c r="E86" s="122">
        <f>E101-E91</f>
        <v>1307</v>
      </c>
      <c r="F86" s="13">
        <v>1234</v>
      </c>
      <c r="G86" s="13">
        <v>1106.5999999999999</v>
      </c>
      <c r="H86" s="13">
        <v>1038</v>
      </c>
      <c r="I86" s="13">
        <v>828.7</v>
      </c>
      <c r="J86" s="13">
        <v>868</v>
      </c>
    </row>
    <row r="87" spans="2:10" x14ac:dyDescent="0.25">
      <c r="B87" s="15" t="s">
        <v>87</v>
      </c>
      <c r="C87" s="36">
        <f t="shared" ref="C87:H87" si="33">C86/C85*100</f>
        <v>95.872652169299286</v>
      </c>
      <c r="D87" s="36">
        <f t="shared" si="33"/>
        <v>97.686189443239329</v>
      </c>
      <c r="E87" s="36">
        <f t="shared" si="33"/>
        <v>94.368231046931399</v>
      </c>
      <c r="F87" s="36">
        <f t="shared" si="33"/>
        <v>90.402930402930409</v>
      </c>
      <c r="G87" s="36">
        <f t="shared" si="33"/>
        <v>86.480150046889648</v>
      </c>
      <c r="H87" s="36">
        <f t="shared" si="33"/>
        <v>90.591726304765231</v>
      </c>
      <c r="I87" s="36">
        <f t="shared" ref="I87:J87" si="34">I86/I85*100</f>
        <v>80.534499514091351</v>
      </c>
      <c r="J87" s="36">
        <f t="shared" si="34"/>
        <v>81.5</v>
      </c>
    </row>
    <row r="88" spans="2:10" x14ac:dyDescent="0.25">
      <c r="B88" s="2"/>
      <c r="C88" s="2"/>
      <c r="D88" s="2"/>
      <c r="E88" s="2"/>
      <c r="F88" s="2"/>
      <c r="G88" s="2"/>
      <c r="H88" s="2"/>
      <c r="I88" s="2"/>
      <c r="J88" s="2"/>
    </row>
    <row r="89" spans="2:10" x14ac:dyDescent="0.25">
      <c r="B89" s="41" t="s">
        <v>82</v>
      </c>
      <c r="C89" s="2"/>
      <c r="D89" s="2"/>
      <c r="E89" s="2"/>
      <c r="F89" s="2"/>
      <c r="G89" s="2"/>
      <c r="H89" s="2"/>
      <c r="I89" s="2"/>
      <c r="J89" s="2"/>
    </row>
    <row r="90" spans="2:10" x14ac:dyDescent="0.25">
      <c r="B90" s="14" t="s">
        <v>85</v>
      </c>
      <c r="C90" s="13">
        <f>878381/365</f>
        <v>2406.523287671233</v>
      </c>
      <c r="D90" s="13">
        <v>2519</v>
      </c>
      <c r="E90" s="13">
        <v>2657</v>
      </c>
      <c r="F90" s="13">
        <v>2601</v>
      </c>
      <c r="G90" s="13">
        <v>2500.5054</v>
      </c>
      <c r="H90" s="13">
        <v>2433.6999999999998</v>
      </c>
      <c r="I90" s="13">
        <v>2416</v>
      </c>
      <c r="J90" s="13">
        <v>2585</v>
      </c>
    </row>
    <row r="91" spans="2:10" x14ac:dyDescent="0.25">
      <c r="B91" s="14" t="s">
        <v>86</v>
      </c>
      <c r="C91" s="13">
        <f>868321/365</f>
        <v>2378.9616438356165</v>
      </c>
      <c r="D91" s="13">
        <v>2394</v>
      </c>
      <c r="E91" s="13">
        <v>2543</v>
      </c>
      <c r="F91" s="13">
        <v>2417</v>
      </c>
      <c r="G91" s="13">
        <v>2245.2821000000004</v>
      </c>
      <c r="H91" s="13">
        <v>2206.8000000000002</v>
      </c>
      <c r="I91" s="13">
        <v>2105.5</v>
      </c>
      <c r="J91" s="13">
        <v>2202</v>
      </c>
    </row>
    <row r="92" spans="2:10" x14ac:dyDescent="0.25">
      <c r="B92" s="15" t="s">
        <v>87</v>
      </c>
      <c r="C92" s="36">
        <f t="shared" ref="C92:H92" si="35">C91/C90*100</f>
        <v>98.854711110554533</v>
      </c>
      <c r="D92" s="36">
        <f t="shared" si="35"/>
        <v>95.037713378324725</v>
      </c>
      <c r="E92" s="36">
        <f t="shared" si="35"/>
        <v>95.709446744448627</v>
      </c>
      <c r="F92" s="36">
        <f t="shared" si="35"/>
        <v>92.925797770088423</v>
      </c>
      <c r="G92" s="36">
        <f t="shared" si="35"/>
        <v>89.793131420552029</v>
      </c>
      <c r="H92" s="36">
        <f t="shared" si="35"/>
        <v>90.676747339442016</v>
      </c>
      <c r="I92" s="36">
        <f t="shared" ref="I92:J92" si="36">I91/I90*100</f>
        <v>87.148178807947019</v>
      </c>
      <c r="J92" s="36">
        <f t="shared" si="36"/>
        <v>85.183752417794963</v>
      </c>
    </row>
    <row r="93" spans="2:10" x14ac:dyDescent="0.25">
      <c r="B93" s="2"/>
      <c r="C93" s="2"/>
      <c r="D93" s="2"/>
      <c r="E93" s="2"/>
      <c r="F93" s="2"/>
      <c r="G93" s="2"/>
      <c r="H93" s="2"/>
      <c r="I93" s="2"/>
      <c r="J93" s="2"/>
    </row>
    <row r="94" spans="2:10" x14ac:dyDescent="0.25">
      <c r="B94" s="41" t="s">
        <v>83</v>
      </c>
      <c r="C94" s="2"/>
      <c r="D94" s="2"/>
      <c r="E94" s="2"/>
      <c r="F94" s="2"/>
      <c r="G94" s="2"/>
      <c r="H94" s="2"/>
      <c r="I94" s="2"/>
      <c r="J94" s="2"/>
    </row>
    <row r="95" spans="2:10" x14ac:dyDescent="0.25">
      <c r="B95" s="14" t="s">
        <v>85</v>
      </c>
      <c r="C95" s="2"/>
      <c r="D95" s="2"/>
      <c r="E95" s="2"/>
      <c r="F95" s="2"/>
      <c r="G95" s="2"/>
      <c r="H95" s="2"/>
      <c r="I95" s="2"/>
      <c r="J95" s="2"/>
    </row>
    <row r="96" spans="2:10" x14ac:dyDescent="0.25">
      <c r="B96" s="14" t="s">
        <v>86</v>
      </c>
      <c r="C96" s="2"/>
      <c r="D96" s="2"/>
      <c r="E96" s="2"/>
      <c r="F96" s="2"/>
      <c r="G96" s="2"/>
      <c r="H96" s="2"/>
      <c r="I96" s="2"/>
      <c r="J96" s="2"/>
    </row>
    <row r="97" spans="2:10" x14ac:dyDescent="0.25">
      <c r="B97" s="15" t="s">
        <v>87</v>
      </c>
      <c r="C97" s="2"/>
      <c r="D97" s="2"/>
      <c r="E97" s="2"/>
      <c r="F97" s="2"/>
      <c r="G97" s="2"/>
      <c r="H97" s="2"/>
      <c r="I97" s="2"/>
      <c r="J97" s="2"/>
    </row>
    <row r="98" spans="2:10" x14ac:dyDescent="0.25">
      <c r="B98" s="2"/>
      <c r="C98" s="2"/>
      <c r="D98" s="2"/>
      <c r="E98" s="2"/>
      <c r="F98" s="2"/>
      <c r="G98" s="2"/>
      <c r="H98" s="2"/>
      <c r="I98" s="2"/>
      <c r="J98" s="2"/>
    </row>
    <row r="99" spans="2:10" x14ac:dyDescent="0.25">
      <c r="B99" s="41" t="s">
        <v>84</v>
      </c>
      <c r="C99" s="2"/>
      <c r="D99" s="2"/>
      <c r="E99" s="2"/>
      <c r="F99" s="2"/>
      <c r="G99" s="2"/>
      <c r="H99" s="2"/>
      <c r="I99" s="2"/>
      <c r="J99" s="2"/>
    </row>
    <row r="100" spans="2:10" x14ac:dyDescent="0.25">
      <c r="B100" s="14" t="s">
        <v>85</v>
      </c>
      <c r="C100" s="13">
        <f>C85+C90</f>
        <v>3800.6986301369861</v>
      </c>
      <c r="D100" s="13">
        <f>D85+D90</f>
        <v>3902</v>
      </c>
      <c r="E100" s="13">
        <v>4042</v>
      </c>
      <c r="F100" s="13">
        <f>F85+F90</f>
        <v>3966</v>
      </c>
      <c r="G100" s="13">
        <f>G85+G90</f>
        <v>3780.1053999999999</v>
      </c>
      <c r="H100" s="13">
        <f t="shared" ref="H100:J101" si="37">H90+H85</f>
        <v>3579.5</v>
      </c>
      <c r="I100" s="13">
        <f t="shared" si="37"/>
        <v>3445</v>
      </c>
      <c r="J100" s="13">
        <f t="shared" si="37"/>
        <v>3650.0306748466255</v>
      </c>
    </row>
    <row r="101" spans="2:10" x14ac:dyDescent="0.25">
      <c r="B101" s="14" t="s">
        <v>86</v>
      </c>
      <c r="C101" s="13">
        <f>C86+C91</f>
        <v>3715.5945205479456</v>
      </c>
      <c r="D101" s="13">
        <v>3746</v>
      </c>
      <c r="E101" s="13">
        <v>3850</v>
      </c>
      <c r="F101" s="13">
        <v>3651</v>
      </c>
      <c r="G101" s="13">
        <f>G86+G91</f>
        <v>3351.8821000000003</v>
      </c>
      <c r="H101" s="13">
        <f t="shared" si="37"/>
        <v>3244.8</v>
      </c>
      <c r="I101" s="13">
        <f t="shared" si="37"/>
        <v>2934.2</v>
      </c>
      <c r="J101" s="13">
        <f t="shared" si="37"/>
        <v>3070</v>
      </c>
    </row>
    <row r="102" spans="2:10" x14ac:dyDescent="0.25">
      <c r="B102" s="15" t="s">
        <v>87</v>
      </c>
      <c r="C102" s="36">
        <f t="shared" ref="C102:G102" si="38">C101/C100*100</f>
        <v>97.760829840224048</v>
      </c>
      <c r="D102" s="36">
        <f t="shared" si="38"/>
        <v>96.002050230650951</v>
      </c>
      <c r="E102" s="36">
        <f t="shared" si="38"/>
        <v>95.249876298861949</v>
      </c>
      <c r="F102" s="36">
        <f t="shared" si="38"/>
        <v>92.057488653555225</v>
      </c>
      <c r="G102" s="36">
        <f t="shared" si="38"/>
        <v>88.671657144798147</v>
      </c>
      <c r="H102" s="36">
        <f>H101/H100*100</f>
        <v>90.649532057549948</v>
      </c>
      <c r="I102" s="36">
        <f t="shared" ref="I102" si="39">I101/I100*100</f>
        <v>85.17271407837444</v>
      </c>
      <c r="J102" s="36">
        <f>J101/J100*100</f>
        <v>84.108882184366891</v>
      </c>
    </row>
    <row r="103" spans="2:10" x14ac:dyDescent="0.25">
      <c r="B103" s="9"/>
      <c r="J103" s="161"/>
    </row>
    <row r="104" spans="2:10" x14ac:dyDescent="0.25">
      <c r="B104" s="89" t="s">
        <v>289</v>
      </c>
      <c r="J104" s="161"/>
    </row>
    <row r="105" spans="2:10" x14ac:dyDescent="0.25">
      <c r="B105" s="89" t="s">
        <v>292</v>
      </c>
      <c r="J105" s="161"/>
    </row>
    <row r="106" spans="2:10" x14ac:dyDescent="0.25">
      <c r="B106" s="10"/>
      <c r="J106" s="161"/>
    </row>
    <row r="107" spans="2:10" x14ac:dyDescent="0.25">
      <c r="B107" s="6"/>
      <c r="J107" s="161"/>
    </row>
    <row r="108" spans="2:10" x14ac:dyDescent="0.25">
      <c r="B108" s="6"/>
      <c r="J108" s="161"/>
    </row>
    <row r="109" spans="2:10" ht="18.75" x14ac:dyDescent="0.3">
      <c r="B109" s="18" t="s">
        <v>257</v>
      </c>
      <c r="C109" s="19">
        <v>2014</v>
      </c>
      <c r="D109" s="19">
        <v>2015</v>
      </c>
      <c r="E109" s="19">
        <v>2016</v>
      </c>
      <c r="F109" s="19">
        <v>2017</v>
      </c>
      <c r="G109" s="19">
        <v>2018</v>
      </c>
      <c r="H109" s="19">
        <v>2019</v>
      </c>
      <c r="I109" s="19">
        <v>2020</v>
      </c>
      <c r="J109" s="19">
        <v>2021</v>
      </c>
    </row>
    <row r="110" spans="2:10" x14ac:dyDescent="0.25">
      <c r="B110" s="41" t="s">
        <v>66</v>
      </c>
      <c r="C110" s="2"/>
      <c r="D110" s="2"/>
      <c r="E110" s="2"/>
      <c r="F110" s="2"/>
      <c r="G110" s="13"/>
      <c r="H110" s="13"/>
      <c r="I110" s="13"/>
      <c r="J110" s="13"/>
    </row>
    <row r="111" spans="2:10" x14ac:dyDescent="0.25">
      <c r="B111" s="14" t="s">
        <v>85</v>
      </c>
      <c r="C111" s="12">
        <v>875</v>
      </c>
      <c r="D111" s="12">
        <v>800</v>
      </c>
      <c r="E111" s="12">
        <v>791</v>
      </c>
      <c r="F111" s="27">
        <v>796</v>
      </c>
      <c r="G111" s="27">
        <v>804</v>
      </c>
      <c r="H111" s="27">
        <v>873</v>
      </c>
      <c r="I111" s="27">
        <v>974</v>
      </c>
      <c r="J111" s="27">
        <v>1236</v>
      </c>
    </row>
    <row r="112" spans="2:10" x14ac:dyDescent="0.25">
      <c r="B112" s="14" t="s">
        <v>86</v>
      </c>
      <c r="C112" s="13">
        <f>713+28</f>
        <v>741</v>
      </c>
      <c r="D112" s="13">
        <v>660</v>
      </c>
      <c r="E112" s="13">
        <v>678</v>
      </c>
      <c r="F112" s="60">
        <v>672</v>
      </c>
      <c r="G112" s="28">
        <v>726</v>
      </c>
      <c r="H112" s="28">
        <v>821</v>
      </c>
      <c r="I112" s="28">
        <v>878</v>
      </c>
      <c r="J112" s="28">
        <v>1112</v>
      </c>
    </row>
    <row r="113" spans="2:10" x14ac:dyDescent="0.25">
      <c r="B113" s="15" t="s">
        <v>87</v>
      </c>
      <c r="C113" s="36">
        <f t="shared" ref="C113:H113" si="40">C112/C111*100</f>
        <v>84.685714285714283</v>
      </c>
      <c r="D113" s="36">
        <f t="shared" si="40"/>
        <v>82.5</v>
      </c>
      <c r="E113" s="36">
        <f t="shared" si="40"/>
        <v>85.714285714285708</v>
      </c>
      <c r="F113" s="36">
        <f t="shared" si="40"/>
        <v>84.422110552763812</v>
      </c>
      <c r="G113" s="36">
        <f t="shared" si="40"/>
        <v>90.298507462686572</v>
      </c>
      <c r="H113" s="36">
        <f t="shared" si="40"/>
        <v>94.043528064146614</v>
      </c>
      <c r="I113" s="36">
        <f t="shared" ref="I113:J113" si="41">I112/I111*100</f>
        <v>90.143737166324428</v>
      </c>
      <c r="J113" s="36">
        <f t="shared" si="41"/>
        <v>89.967637540453069</v>
      </c>
    </row>
    <row r="114" spans="2:10" x14ac:dyDescent="0.25">
      <c r="B114" s="2"/>
      <c r="C114" s="2"/>
      <c r="D114" s="2"/>
      <c r="E114" s="2"/>
      <c r="F114" s="2"/>
      <c r="G114" s="2"/>
      <c r="H114" s="2"/>
      <c r="I114" s="2"/>
      <c r="J114" s="2"/>
    </row>
    <row r="115" spans="2:10" x14ac:dyDescent="0.25">
      <c r="B115" s="41" t="s">
        <v>82</v>
      </c>
      <c r="C115" s="2"/>
      <c r="D115" s="2"/>
      <c r="E115" s="2"/>
      <c r="F115" s="2"/>
      <c r="G115" s="2"/>
      <c r="H115" s="2"/>
      <c r="I115" s="2"/>
      <c r="J115" s="2"/>
    </row>
    <row r="116" spans="2:10" x14ac:dyDescent="0.25">
      <c r="B116" s="14" t="s">
        <v>85</v>
      </c>
      <c r="C116" s="12">
        <f>4533-875</f>
        <v>3658</v>
      </c>
      <c r="D116" s="12">
        <v>3554</v>
      </c>
      <c r="E116" s="12">
        <v>3462</v>
      </c>
      <c r="F116" s="27">
        <f>1338+2112</f>
        <v>3450</v>
      </c>
      <c r="G116" s="27">
        <v>3451</v>
      </c>
      <c r="H116" s="27">
        <v>3623</v>
      </c>
      <c r="I116" s="27">
        <v>3784</v>
      </c>
      <c r="J116" s="27">
        <v>3877</v>
      </c>
    </row>
    <row r="117" spans="2:10" x14ac:dyDescent="0.25">
      <c r="B117" s="14" t="s">
        <v>86</v>
      </c>
      <c r="C117" s="12">
        <f>3874-741</f>
        <v>3133</v>
      </c>
      <c r="D117" s="12">
        <v>3141</v>
      </c>
      <c r="E117" s="12">
        <v>3088</v>
      </c>
      <c r="F117" s="159">
        <f>1158+1914</f>
        <v>3072</v>
      </c>
      <c r="G117" s="27">
        <v>3194</v>
      </c>
      <c r="H117" s="27">
        <v>3442</v>
      </c>
      <c r="I117" s="27">
        <v>3635</v>
      </c>
      <c r="J117" s="27">
        <v>3705</v>
      </c>
    </row>
    <row r="118" spans="2:10" x14ac:dyDescent="0.25">
      <c r="B118" s="15" t="s">
        <v>87</v>
      </c>
      <c r="C118" s="36">
        <f t="shared" ref="C118:E118" si="42">C117/C116*100</f>
        <v>85.647895024603599</v>
      </c>
      <c r="D118" s="36">
        <f t="shared" si="42"/>
        <v>88.379290939786159</v>
      </c>
      <c r="E118" s="36">
        <f t="shared" si="42"/>
        <v>89.196995956094739</v>
      </c>
      <c r="F118" s="36">
        <f>F117/F116*100</f>
        <v>89.043478260869563</v>
      </c>
      <c r="G118" s="36">
        <f>G117/G116*100</f>
        <v>92.552883222254422</v>
      </c>
      <c r="H118" s="36">
        <f>H117/H116*100</f>
        <v>95.004140215291201</v>
      </c>
      <c r="I118" s="36">
        <f>I117/I116*100</f>
        <v>96.062367864693442</v>
      </c>
      <c r="J118" s="36">
        <f>J117/J116*100</f>
        <v>95.563580087696678</v>
      </c>
    </row>
    <row r="119" spans="2:10" x14ac:dyDescent="0.25">
      <c r="B119" s="2"/>
      <c r="C119" s="13"/>
      <c r="D119" s="13"/>
      <c r="E119" s="13"/>
      <c r="F119" s="13"/>
      <c r="G119" s="13"/>
      <c r="H119" s="13"/>
      <c r="I119" s="13"/>
      <c r="J119" s="13"/>
    </row>
    <row r="120" spans="2:10" x14ac:dyDescent="0.25">
      <c r="B120" s="41" t="s">
        <v>83</v>
      </c>
      <c r="C120" s="13"/>
      <c r="D120" s="13"/>
      <c r="E120" s="13"/>
      <c r="F120" s="13"/>
      <c r="G120" s="13"/>
      <c r="H120" s="13"/>
      <c r="I120" s="13"/>
      <c r="J120" s="13"/>
    </row>
    <row r="121" spans="2:10" x14ac:dyDescent="0.25">
      <c r="B121" s="14" t="s">
        <v>85</v>
      </c>
      <c r="C121" s="12">
        <v>1913</v>
      </c>
      <c r="D121" s="12">
        <v>2038</v>
      </c>
      <c r="E121" s="12">
        <v>1941</v>
      </c>
      <c r="F121" s="12">
        <v>1957</v>
      </c>
      <c r="G121" s="12">
        <v>2137.62</v>
      </c>
      <c r="H121" s="27">
        <v>2160</v>
      </c>
      <c r="I121" s="27">
        <v>2200</v>
      </c>
      <c r="J121" s="27">
        <v>2482</v>
      </c>
    </row>
    <row r="122" spans="2:10" x14ac:dyDescent="0.25">
      <c r="B122" s="14" t="s">
        <v>86</v>
      </c>
      <c r="C122" s="12">
        <v>1608</v>
      </c>
      <c r="D122" s="12">
        <v>1604</v>
      </c>
      <c r="E122" s="12">
        <v>1644</v>
      </c>
      <c r="F122" s="103">
        <v>1711.14</v>
      </c>
      <c r="G122" s="12">
        <v>1929.23</v>
      </c>
      <c r="H122" s="27">
        <v>2001</v>
      </c>
      <c r="I122" s="27">
        <v>2188</v>
      </c>
      <c r="J122" s="27">
        <v>2323</v>
      </c>
    </row>
    <row r="123" spans="2:10" x14ac:dyDescent="0.25">
      <c r="B123" s="15" t="s">
        <v>87</v>
      </c>
      <c r="C123" s="36">
        <f t="shared" ref="C123:G123" si="43">C122/C121*100</f>
        <v>84.056455828541559</v>
      </c>
      <c r="D123" s="36">
        <f t="shared" si="43"/>
        <v>78.704612365063781</v>
      </c>
      <c r="E123" s="36">
        <f t="shared" si="43"/>
        <v>84.69860896445131</v>
      </c>
      <c r="F123" s="36">
        <f t="shared" si="43"/>
        <v>87.4368932038835</v>
      </c>
      <c r="G123" s="36">
        <f t="shared" si="43"/>
        <v>90.251307528934049</v>
      </c>
      <c r="H123" s="36">
        <f t="shared" ref="H123:I123" si="44">H122/H121*100</f>
        <v>92.638888888888886</v>
      </c>
      <c r="I123" s="36">
        <f t="shared" si="44"/>
        <v>99.454545454545453</v>
      </c>
      <c r="J123" s="36">
        <f t="shared" ref="J123" si="45">J122/J121*100</f>
        <v>93.593875906526989</v>
      </c>
    </row>
    <row r="124" spans="2:10" x14ac:dyDescent="0.25">
      <c r="B124" s="2"/>
      <c r="C124" s="2"/>
      <c r="D124" s="2"/>
      <c r="E124" s="2"/>
      <c r="F124" s="2"/>
      <c r="G124" s="2"/>
      <c r="H124" s="2"/>
      <c r="I124" s="2"/>
      <c r="J124" s="2"/>
    </row>
    <row r="125" spans="2:10" x14ac:dyDescent="0.25">
      <c r="B125" s="41" t="s">
        <v>84</v>
      </c>
      <c r="C125" s="2"/>
      <c r="D125" s="2"/>
      <c r="E125" s="2"/>
      <c r="F125" s="2"/>
      <c r="G125" s="2"/>
      <c r="H125" s="2"/>
      <c r="I125" s="2"/>
      <c r="J125" s="2"/>
    </row>
    <row r="126" spans="2:10" x14ac:dyDescent="0.25">
      <c r="B126" s="14" t="s">
        <v>85</v>
      </c>
      <c r="C126" s="13">
        <f t="shared" ref="C126:E127" si="46">+C111+C116+C121</f>
        <v>6446</v>
      </c>
      <c r="D126" s="13">
        <f t="shared" si="46"/>
        <v>6392</v>
      </c>
      <c r="E126" s="13">
        <f t="shared" si="46"/>
        <v>6194</v>
      </c>
      <c r="F126" s="13">
        <f t="shared" ref="F126:H127" si="47">+F111+F116+F121</f>
        <v>6203</v>
      </c>
      <c r="G126" s="13">
        <f t="shared" si="47"/>
        <v>6392.62</v>
      </c>
      <c r="H126" s="13">
        <f t="shared" si="47"/>
        <v>6656</v>
      </c>
      <c r="I126" s="13">
        <f t="shared" ref="I126" si="48">+I111+I116+I121</f>
        <v>6958</v>
      </c>
      <c r="J126" s="13">
        <f>+J111+J116+J121</f>
        <v>7595</v>
      </c>
    </row>
    <row r="127" spans="2:10" x14ac:dyDescent="0.25">
      <c r="B127" s="14" t="s">
        <v>86</v>
      </c>
      <c r="C127" s="13">
        <f t="shared" si="46"/>
        <v>5482</v>
      </c>
      <c r="D127" s="13">
        <f t="shared" si="46"/>
        <v>5405</v>
      </c>
      <c r="E127" s="13">
        <f t="shared" si="46"/>
        <v>5410</v>
      </c>
      <c r="F127" s="39">
        <f t="shared" si="47"/>
        <v>5455.14</v>
      </c>
      <c r="G127" s="13">
        <f t="shared" si="47"/>
        <v>5849.23</v>
      </c>
      <c r="H127" s="13">
        <f t="shared" si="47"/>
        <v>6264</v>
      </c>
      <c r="I127" s="13">
        <f t="shared" ref="I127" si="49">+I112+I117+I122</f>
        <v>6701</v>
      </c>
      <c r="J127" s="13">
        <f>+J112+J117+J122</f>
        <v>7140</v>
      </c>
    </row>
    <row r="128" spans="2:10" x14ac:dyDescent="0.25">
      <c r="B128" s="15" t="s">
        <v>87</v>
      </c>
      <c r="C128" s="36">
        <f t="shared" ref="C128:G128" si="50">C127/C126*100</f>
        <v>85.044989140552289</v>
      </c>
      <c r="D128" s="36">
        <f t="shared" si="50"/>
        <v>84.558823529411768</v>
      </c>
      <c r="E128" s="36">
        <f t="shared" si="50"/>
        <v>87.342589602841457</v>
      </c>
      <c r="F128" s="36">
        <f t="shared" si="50"/>
        <v>87.943575689182666</v>
      </c>
      <c r="G128" s="36">
        <f t="shared" si="50"/>
        <v>91.499729375436047</v>
      </c>
      <c r="H128" s="36">
        <f>H127/H126*100</f>
        <v>94.110576923076934</v>
      </c>
      <c r="I128" s="36">
        <f t="shared" ref="I128" si="51">I127/I126*100</f>
        <v>96.306409887898823</v>
      </c>
      <c r="J128" s="36">
        <f>J127/J126*100</f>
        <v>94.009216589861751</v>
      </c>
    </row>
    <row r="129" spans="2:8" x14ac:dyDescent="0.25">
      <c r="B129" s="9"/>
      <c r="C129" s="22"/>
      <c r="D129" s="22"/>
      <c r="E129" s="22"/>
      <c r="F129" s="22"/>
      <c r="G129" s="22"/>
      <c r="H129" s="22"/>
    </row>
    <row r="130" spans="2:8" x14ac:dyDescent="0.25">
      <c r="B130" s="129" t="s">
        <v>324</v>
      </c>
    </row>
    <row r="131" spans="2:8" x14ac:dyDescent="0.25">
      <c r="B131" s="24" t="s">
        <v>356</v>
      </c>
    </row>
    <row r="132" spans="2:8" x14ac:dyDescent="0.25">
      <c r="B132" s="125"/>
    </row>
    <row r="133" spans="2:8" x14ac:dyDescent="0.25">
      <c r="B133" s="6"/>
    </row>
    <row r="134" spans="2:8" x14ac:dyDescent="0.25">
      <c r="B134" s="6"/>
    </row>
  </sheetData>
  <pageMargins left="0.7" right="0.7" top="0.75" bottom="0.75" header="0.3" footer="0.3"/>
  <pageSetup paperSize="9" orientation="portrait" r:id="rId1"/>
  <ignoredErrors>
    <ignoredError sqref="C116:C117 F116:F11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EED66796F0F8D4B8A34C3D1F00569E4" ma:contentTypeVersion="10" ma:contentTypeDescription="Opprett et nytt dokument." ma:contentTypeScope="" ma:versionID="a1a1764c1eaaa8d2716ef8f28026770f">
  <xsd:schema xmlns:xsd="http://www.w3.org/2001/XMLSchema" xmlns:xs="http://www.w3.org/2001/XMLSchema" xmlns:p="http://schemas.microsoft.com/office/2006/metadata/properties" xmlns:ns3="d98aaa50-1d36-4c62-ad9d-a1592558943d" xmlns:ns4="085a44e4-18ef-4c33-9e5f-b5f92967fd90" targetNamespace="http://schemas.microsoft.com/office/2006/metadata/properties" ma:root="true" ma:fieldsID="e4a9b9a123c4b1726675620ed58470ce" ns3:_="" ns4:_="">
    <xsd:import namespace="d98aaa50-1d36-4c62-ad9d-a1592558943d"/>
    <xsd:import namespace="085a44e4-18ef-4c33-9e5f-b5f92967fd9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aaa50-1d36-4c62-ad9d-a15925589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5a44e4-18ef-4c33-9e5f-b5f92967fd9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SharingHintHash" ma:index="14"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67D474-EA89-4C36-A3D0-7F7E89647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8aaa50-1d36-4c62-ad9d-a1592558943d"/>
    <ds:schemaRef ds:uri="085a44e4-18ef-4c33-9e5f-b5f92967f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21E3E-8FF0-405F-86E2-FDEAC135BA28}">
  <ds:schemaRefs>
    <ds:schemaRef ds:uri="http://schemas.microsoft.com/office/2006/documentManagement/types"/>
    <ds:schemaRef ds:uri="http://schemas.microsoft.com/office/2006/metadata/properties"/>
    <ds:schemaRef ds:uri="http://purl.org/dc/terms/"/>
    <ds:schemaRef ds:uri="d98aaa50-1d36-4c62-ad9d-a1592558943d"/>
    <ds:schemaRef ds:uri="http://purl.org/dc/dcmitype/"/>
    <ds:schemaRef ds:uri="http://purl.org/dc/elements/1.1/"/>
    <ds:schemaRef ds:uri="http://schemas.openxmlformats.org/package/2006/metadata/core-properties"/>
    <ds:schemaRef ds:uri="http://www.w3.org/XML/1998/namespace"/>
    <ds:schemaRef ds:uri="http://schemas.microsoft.com/office/infopath/2007/PartnerControls"/>
    <ds:schemaRef ds:uri="085a44e4-18ef-4c33-9e5f-b5f92967fd90"/>
  </ds:schemaRefs>
</ds:datastoreItem>
</file>

<file path=customXml/itemProps3.xml><?xml version="1.0" encoding="utf-8"?>
<ds:datastoreItem xmlns:ds="http://schemas.openxmlformats.org/officeDocument/2006/customXml" ds:itemID="{887A0B43-7142-4428-8BBE-BC3C5E5A4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Innehåll</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Definitioner</vt:lpstr>
      <vt:lpstr>Folkmängd</vt:lpstr>
      <vt:lpstr>'Tabell 1'!_ftn1</vt:lpstr>
      <vt:lpstr>'Tabell 1'!_ftnref1</vt:lpstr>
      <vt:lpstr>Definitioner!_Toc502915981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Gabrielsson Marie - HK</dc:creator>
  <cp:keywords/>
  <dc:description/>
  <cp:lastModifiedBy>Hafdís Guðmundsdóttir</cp:lastModifiedBy>
  <cp:lastPrinted>2019-08-27T13:40:52Z</cp:lastPrinted>
  <dcterms:created xsi:type="dcterms:W3CDTF">2019-05-20T11:09:51Z</dcterms:created>
  <dcterms:modified xsi:type="dcterms:W3CDTF">2023-05-01T19:15:53Z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0x0101009EED66796F0F8D4B8A34C3D1F00569E4</vt:lpwstr>
  </property>
</Properties>
</file>