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mc:AlternateContent xmlns:mc="http://schemas.openxmlformats.org/markup-compatibility/2006">
    <mc:Choice Requires="x15">
      <x15ac:absPath xmlns:x15ac="http://schemas.microsoft.com/office/spreadsheetml/2010/11/ac" url="H:\_WINWORD\FANGAMAL\TALNING\Norræn statistikk\____________________________Norræn Statistikk 2014 - 2024\"/>
    </mc:Choice>
  </mc:AlternateContent>
  <xr:revisionPtr revIDLastSave="0" documentId="8_{773825F3-5319-4375-9261-F26EB7C32777}" xr6:coauthVersionLast="47" xr6:coauthVersionMax="47" xr10:uidLastSave="{00000000-0000-0000-0000-000000000000}"/>
  <bookViews>
    <workbookView xWindow="-120" yWindow="-120" windowWidth="29040" windowHeight="15720" tabRatio="857" xr2:uid="{00000000-000D-0000-FFFF-FFFF00000000}"/>
  </bookViews>
  <sheets>
    <sheet name="Innehåll" sheetId="1" r:id="rId1"/>
    <sheet name="Tabell 1" sheetId="17" r:id="rId2"/>
    <sheet name="Tabell 2" sheetId="3" r:id="rId3"/>
    <sheet name="Tabell 3" sheetId="4" r:id="rId4"/>
    <sheet name="Tabell 4" sheetId="5" r:id="rId5"/>
    <sheet name="Tabell 5" sheetId="6" r:id="rId6"/>
    <sheet name="Tabell 6" sheetId="7" r:id="rId7"/>
    <sheet name="Tabell 7" sheetId="8" r:id="rId8"/>
    <sheet name="Tabell 8" sheetId="9" r:id="rId9"/>
    <sheet name="Tabell 9" sheetId="10" r:id="rId10"/>
    <sheet name="Tabell 10" sheetId="11" r:id="rId11"/>
    <sheet name="Tabell 11" sheetId="12" r:id="rId12"/>
    <sheet name="Tabell 12" sheetId="13" r:id="rId13"/>
    <sheet name="Definitioner" sheetId="16" r:id="rId14"/>
    <sheet name="Folkmängd" sheetId="15" r:id="rId15"/>
  </sheets>
  <externalReferences>
    <externalReference r:id="rId16"/>
  </externalReferences>
  <definedNames>
    <definedName name="_Toc502915981" localSheetId="13">Definitioner!$B$1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4" i="9" l="1"/>
  <c r="M75" i="9" s="1"/>
  <c r="M73" i="9"/>
  <c r="M70" i="9"/>
  <c r="M65" i="9"/>
  <c r="M60" i="9"/>
  <c r="M75" i="8"/>
  <c r="M63" i="6"/>
  <c r="M59" i="6"/>
  <c r="M72" i="5"/>
  <c r="M69" i="5"/>
  <c r="M66" i="5"/>
  <c r="M64" i="5"/>
  <c r="M61" i="5"/>
  <c r="M75" i="4"/>
  <c r="M74" i="4"/>
  <c r="M74" i="3"/>
  <c r="M73" i="3"/>
  <c r="M70" i="3"/>
  <c r="M69" i="3"/>
  <c r="M63" i="3"/>
  <c r="M61" i="3"/>
  <c r="M83" i="17"/>
  <c r="M82" i="17"/>
  <c r="M79" i="17"/>
  <c r="M78" i="17"/>
  <c r="AI15" i="11"/>
  <c r="AI8" i="11"/>
  <c r="AI9" i="11"/>
  <c r="AI10" i="11"/>
  <c r="AI11" i="11"/>
  <c r="AI12" i="11"/>
  <c r="AI13" i="11"/>
  <c r="AI14" i="11"/>
  <c r="AI16" i="11"/>
  <c r="AI7" i="11"/>
  <c r="AH8" i="11"/>
  <c r="AH9" i="11"/>
  <c r="AH10" i="11"/>
  <c r="AH11" i="11"/>
  <c r="AH12" i="11"/>
  <c r="AH13" i="11"/>
  <c r="AH14" i="11"/>
  <c r="AH15" i="11"/>
  <c r="AH16" i="11"/>
  <c r="AH7" i="11"/>
  <c r="AG8" i="11"/>
  <c r="AG9" i="11"/>
  <c r="AG10" i="11"/>
  <c r="AG11" i="11"/>
  <c r="AG12" i="11"/>
  <c r="AG13" i="11"/>
  <c r="AG14" i="11"/>
  <c r="AG15" i="11"/>
  <c r="AG16" i="11"/>
  <c r="AG7" i="11"/>
  <c r="M9" i="5"/>
  <c r="M16" i="3"/>
  <c r="M10" i="3"/>
  <c r="M8" i="3"/>
  <c r="M25" i="17" l="1"/>
  <c r="M21" i="17"/>
  <c r="M111" i="4" l="1"/>
  <c r="M110" i="3" l="1"/>
  <c r="M126" i="17" l="1"/>
  <c r="M119" i="17"/>
  <c r="AG128" i="11" l="1"/>
  <c r="AH128" i="11"/>
  <c r="M97" i="4" l="1"/>
  <c r="M102" i="17"/>
  <c r="M113" i="5" l="1"/>
  <c r="M7" i="12" l="1"/>
  <c r="M42" i="12"/>
  <c r="M24" i="12"/>
  <c r="M15" i="12"/>
  <c r="AG96" i="11"/>
  <c r="AG77" i="11" s="1"/>
  <c r="AI111" i="11"/>
  <c r="AI110" i="11"/>
  <c r="AI109" i="11"/>
  <c r="AI108" i="11"/>
  <c r="AI107" i="11"/>
  <c r="AI105" i="11"/>
  <c r="AI104" i="11"/>
  <c r="AI103" i="11"/>
  <c r="AI128" i="11"/>
  <c r="AG113" i="11"/>
  <c r="AH96" i="11"/>
  <c r="AH74" i="11" s="1"/>
  <c r="AH160" i="11"/>
  <c r="AH136" i="11" s="1"/>
  <c r="AG160" i="11"/>
  <c r="AG139" i="11" s="1"/>
  <c r="AI159" i="11"/>
  <c r="AI158" i="11"/>
  <c r="AI157" i="11"/>
  <c r="AI156" i="11"/>
  <c r="AI155" i="11"/>
  <c r="AI154" i="11"/>
  <c r="AI153" i="11"/>
  <c r="AI152" i="11"/>
  <c r="AI151" i="11"/>
  <c r="AH113" i="11"/>
  <c r="AH112" i="11"/>
  <c r="AG112" i="11"/>
  <c r="AH111" i="11"/>
  <c r="AG111" i="11"/>
  <c r="AH110" i="11"/>
  <c r="AG110" i="11"/>
  <c r="AH109" i="11"/>
  <c r="AG109" i="11"/>
  <c r="AH108" i="11"/>
  <c r="AG108" i="11"/>
  <c r="AH107" i="11"/>
  <c r="AG107" i="11"/>
  <c r="AI106" i="11"/>
  <c r="AH106" i="11"/>
  <c r="AG106" i="11"/>
  <c r="AH105" i="11"/>
  <c r="AG105" i="11"/>
  <c r="AH104" i="11"/>
  <c r="AG104" i="11"/>
  <c r="AH103" i="11"/>
  <c r="AG103" i="11"/>
  <c r="AI95" i="11"/>
  <c r="AI94" i="11"/>
  <c r="AI93" i="11"/>
  <c r="AI92" i="11"/>
  <c r="AI91" i="11"/>
  <c r="AI90" i="11"/>
  <c r="AI89" i="11"/>
  <c r="AI88" i="11"/>
  <c r="AI87" i="11"/>
  <c r="AH64" i="11"/>
  <c r="AH49" i="11" s="1"/>
  <c r="AG64" i="11"/>
  <c r="AG44" i="11" s="1"/>
  <c r="AI63" i="11"/>
  <c r="AI62" i="11"/>
  <c r="AI61" i="11"/>
  <c r="AI60" i="11"/>
  <c r="AI59" i="11"/>
  <c r="AI58" i="11"/>
  <c r="AI57" i="11"/>
  <c r="AI56" i="11"/>
  <c r="AI55" i="11"/>
  <c r="AG39" i="11"/>
  <c r="AH17" i="11"/>
  <c r="M92" i="10"/>
  <c r="M66" i="10"/>
  <c r="M12" i="10"/>
  <c r="M9" i="10"/>
  <c r="M6" i="10"/>
  <c r="M127" i="9"/>
  <c r="M112" i="10" s="1"/>
  <c r="M126" i="9"/>
  <c r="M123" i="9"/>
  <c r="M118" i="9"/>
  <c r="M113" i="9"/>
  <c r="M101" i="9"/>
  <c r="M89" i="10" s="1"/>
  <c r="M100" i="9"/>
  <c r="M92" i="9"/>
  <c r="M87" i="9"/>
  <c r="M60" i="10"/>
  <c r="M48" i="9"/>
  <c r="M37" i="10" s="1"/>
  <c r="M47" i="9"/>
  <c r="M39" i="9"/>
  <c r="M34" i="9"/>
  <c r="M23" i="9"/>
  <c r="M18" i="9"/>
  <c r="M13" i="9"/>
  <c r="M8" i="9"/>
  <c r="M101" i="8"/>
  <c r="M127" i="8"/>
  <c r="M49" i="8"/>
  <c r="M115" i="6"/>
  <c r="M111" i="6"/>
  <c r="M89" i="6"/>
  <c r="M85" i="6"/>
  <c r="M37" i="6"/>
  <c r="M33" i="6"/>
  <c r="M11" i="6"/>
  <c r="M7" i="6"/>
  <c r="M124" i="5"/>
  <c r="M121" i="5"/>
  <c r="M118" i="5"/>
  <c r="M116" i="5"/>
  <c r="M95" i="5"/>
  <c r="M92" i="5"/>
  <c r="M90" i="5"/>
  <c r="M87" i="5"/>
  <c r="M46" i="5"/>
  <c r="M43" i="5"/>
  <c r="M40" i="5"/>
  <c r="M38" i="5"/>
  <c r="M35" i="5"/>
  <c r="M20" i="5"/>
  <c r="M17" i="5"/>
  <c r="M14" i="5"/>
  <c r="M12" i="5"/>
  <c r="M127" i="4"/>
  <c r="M101" i="4"/>
  <c r="M100" i="4"/>
  <c r="M32" i="4"/>
  <c r="M48" i="4" s="1"/>
  <c r="M21" i="4"/>
  <c r="M20" i="4"/>
  <c r="M122" i="3"/>
  <c r="M121" i="3"/>
  <c r="M126" i="3"/>
  <c r="M100" i="3"/>
  <c r="M99" i="3"/>
  <c r="M96" i="3"/>
  <c r="M95" i="3"/>
  <c r="M89" i="3"/>
  <c r="M87" i="3"/>
  <c r="M48" i="3"/>
  <c r="M47" i="3"/>
  <c r="M44" i="3"/>
  <c r="M43" i="3"/>
  <c r="M37" i="3"/>
  <c r="M35" i="3"/>
  <c r="M21" i="3"/>
  <c r="M20" i="3"/>
  <c r="M17" i="3"/>
  <c r="AG81" i="11" l="1"/>
  <c r="M63" i="10"/>
  <c r="AG135" i="11"/>
  <c r="AG145" i="11"/>
  <c r="M86" i="10"/>
  <c r="AI113" i="11"/>
  <c r="AI112" i="11"/>
  <c r="M34" i="10"/>
  <c r="M40" i="10"/>
  <c r="M115" i="10"/>
  <c r="AG17" i="11"/>
  <c r="AH39" i="11"/>
  <c r="AG137" i="11"/>
  <c r="M118" i="10"/>
  <c r="AG138" i="11"/>
  <c r="AG140" i="11"/>
  <c r="AG142" i="11"/>
  <c r="AG143" i="11"/>
  <c r="AH137" i="11"/>
  <c r="AH139" i="11"/>
  <c r="AH142" i="11"/>
  <c r="AH138" i="11"/>
  <c r="AH145" i="11"/>
  <c r="AH143" i="11"/>
  <c r="AH140" i="11"/>
  <c r="AI160" i="11"/>
  <c r="AI140" i="11" s="1"/>
  <c r="AH135" i="11"/>
  <c r="AH141" i="11"/>
  <c r="AG76" i="11"/>
  <c r="AI96" i="11"/>
  <c r="AI73" i="11" s="1"/>
  <c r="AH72" i="11"/>
  <c r="AG73" i="11"/>
  <c r="AH78" i="11"/>
  <c r="AH77" i="11"/>
  <c r="AG74" i="11"/>
  <c r="AG79" i="11"/>
  <c r="AG71" i="11"/>
  <c r="AG72" i="11"/>
  <c r="AG78" i="11"/>
  <c r="AG75" i="11"/>
  <c r="AG40" i="11"/>
  <c r="AG42" i="11"/>
  <c r="AG45" i="11"/>
  <c r="AG47" i="11"/>
  <c r="AH47" i="11"/>
  <c r="AI64" i="11"/>
  <c r="AI41" i="11" s="1"/>
  <c r="AI17" i="11"/>
  <c r="AI138" i="11"/>
  <c r="AH44" i="11"/>
  <c r="AH42" i="11"/>
  <c r="AH75" i="11"/>
  <c r="AH73" i="11"/>
  <c r="AG43" i="11"/>
  <c r="AH76" i="11"/>
  <c r="AG141" i="11"/>
  <c r="AG41" i="11"/>
  <c r="AH46" i="11"/>
  <c r="AG49" i="11"/>
  <c r="AH71" i="11"/>
  <c r="AH79" i="11"/>
  <c r="AG136" i="11"/>
  <c r="AH45" i="11"/>
  <c r="AH40" i="11"/>
  <c r="AH81" i="11"/>
  <c r="AH43" i="11"/>
  <c r="AG46" i="11"/>
  <c r="AH41" i="11"/>
  <c r="M128" i="9"/>
  <c r="M102" i="9"/>
  <c r="M49" i="9"/>
  <c r="M47" i="4"/>
  <c r="M126" i="4"/>
  <c r="M113" i="3"/>
  <c r="M125" i="3"/>
  <c r="M115" i="3"/>
  <c r="M26" i="17"/>
  <c r="M133" i="17"/>
  <c r="M132" i="17"/>
  <c r="M117" i="17"/>
  <c r="M137" i="17" s="1"/>
  <c r="M110" i="17"/>
  <c r="M109" i="17"/>
  <c r="M106" i="17"/>
  <c r="M105" i="17"/>
  <c r="M49" i="17"/>
  <c r="M48" i="17"/>
  <c r="M33" i="17"/>
  <c r="M53" i="17" s="1"/>
  <c r="M22" i="17"/>
  <c r="AI49" i="11" l="1"/>
  <c r="AI42" i="11"/>
  <c r="AG80" i="11"/>
  <c r="AH48" i="11"/>
  <c r="AG144" i="11"/>
  <c r="AI43" i="11"/>
  <c r="AI39" i="11"/>
  <c r="AI47" i="11"/>
  <c r="AI44" i="11"/>
  <c r="AI48" i="11" s="1"/>
  <c r="AI45" i="11"/>
  <c r="AI46" i="11"/>
  <c r="AI141" i="11"/>
  <c r="AI142" i="11"/>
  <c r="AH144" i="11"/>
  <c r="AI139" i="11"/>
  <c r="AI137" i="11"/>
  <c r="AI135" i="11"/>
  <c r="AI145" i="11"/>
  <c r="AI143" i="11"/>
  <c r="AI136" i="11"/>
  <c r="AI74" i="11"/>
  <c r="AI78" i="11"/>
  <c r="AI75" i="11"/>
  <c r="AI77" i="11"/>
  <c r="AI72" i="11"/>
  <c r="AI71" i="11"/>
  <c r="AI81" i="11"/>
  <c r="AI76" i="11"/>
  <c r="AI79" i="11"/>
  <c r="AI40" i="11"/>
  <c r="AG48" i="11"/>
  <c r="AH80" i="11"/>
  <c r="M52" i="17"/>
  <c r="M136" i="17"/>
  <c r="AI144" i="11" l="1"/>
  <c r="AI80" i="11"/>
  <c r="L8" i="3"/>
  <c r="AF113" i="11" l="1"/>
  <c r="AE113" i="11"/>
  <c r="AD113" i="11"/>
  <c r="AF112" i="11"/>
  <c r="AE112" i="11"/>
  <c r="AD112" i="11"/>
  <c r="AF111" i="11"/>
  <c r="AE111" i="11"/>
  <c r="AD111" i="11"/>
  <c r="AF110" i="11"/>
  <c r="AE110" i="11"/>
  <c r="AD110" i="11"/>
  <c r="AF109" i="11"/>
  <c r="AE109" i="11"/>
  <c r="AD109" i="11"/>
  <c r="AF108" i="11"/>
  <c r="AE108" i="11"/>
  <c r="AD108" i="11"/>
  <c r="AF107" i="11"/>
  <c r="AE107" i="11"/>
  <c r="AD107" i="11"/>
  <c r="AF106" i="11"/>
  <c r="AE106" i="11"/>
  <c r="AD106" i="11"/>
  <c r="AF105" i="11"/>
  <c r="AE105" i="11"/>
  <c r="AD105" i="11"/>
  <c r="AF104" i="11"/>
  <c r="AE104" i="11"/>
  <c r="AD104" i="11"/>
  <c r="AF103" i="11"/>
  <c r="AE103" i="11"/>
  <c r="AD103" i="11"/>
  <c r="L97" i="4" l="1"/>
  <c r="L133" i="17"/>
  <c r="K133" i="17"/>
  <c r="J133" i="17"/>
  <c r="I133" i="17"/>
  <c r="H133" i="17"/>
  <c r="G133" i="17"/>
  <c r="F133" i="17"/>
  <c r="E133" i="17"/>
  <c r="D133" i="17"/>
  <c r="C133" i="17"/>
  <c r="L132" i="17"/>
  <c r="K132" i="17"/>
  <c r="J132" i="17"/>
  <c r="I132" i="17"/>
  <c r="H132" i="17"/>
  <c r="G132" i="17"/>
  <c r="F132" i="17"/>
  <c r="E132" i="17"/>
  <c r="D132" i="17"/>
  <c r="C132" i="17"/>
  <c r="L126" i="17"/>
  <c r="K126" i="17"/>
  <c r="I126" i="17"/>
  <c r="H126" i="17"/>
  <c r="G126" i="17"/>
  <c r="F126" i="17"/>
  <c r="E126" i="17"/>
  <c r="D126" i="17"/>
  <c r="C126" i="17"/>
  <c r="L125" i="17"/>
  <c r="K125" i="17"/>
  <c r="I125" i="17"/>
  <c r="H125" i="17"/>
  <c r="G125" i="17"/>
  <c r="F125" i="17"/>
  <c r="E125" i="17"/>
  <c r="D125" i="17"/>
  <c r="C125" i="17"/>
  <c r="L119" i="17"/>
  <c r="K119" i="17"/>
  <c r="I119" i="17"/>
  <c r="H119" i="17"/>
  <c r="H117" i="17" s="1"/>
  <c r="H137" i="17" s="1"/>
  <c r="G119" i="17"/>
  <c r="F119" i="17"/>
  <c r="E119" i="17"/>
  <c r="D119" i="17"/>
  <c r="C119" i="17"/>
  <c r="J117" i="17"/>
  <c r="J137" i="17" s="1"/>
  <c r="L110" i="17"/>
  <c r="K110" i="17"/>
  <c r="J110" i="17"/>
  <c r="I110" i="17"/>
  <c r="E110" i="17"/>
  <c r="D110" i="17"/>
  <c r="C110" i="17"/>
  <c r="L109" i="17"/>
  <c r="K109" i="17"/>
  <c r="J109" i="17"/>
  <c r="I109" i="17"/>
  <c r="E109" i="17"/>
  <c r="D109" i="17"/>
  <c r="C109" i="17"/>
  <c r="L106" i="17"/>
  <c r="K106" i="17"/>
  <c r="J106" i="17"/>
  <c r="I106" i="17"/>
  <c r="H106" i="17"/>
  <c r="G106" i="17"/>
  <c r="F106" i="17"/>
  <c r="C106" i="17"/>
  <c r="L105" i="17"/>
  <c r="K105" i="17"/>
  <c r="J105" i="17"/>
  <c r="I105" i="17"/>
  <c r="H105" i="17"/>
  <c r="G105" i="17"/>
  <c r="F105" i="17"/>
  <c r="C105" i="17"/>
  <c r="L102" i="17"/>
  <c r="K102" i="17"/>
  <c r="I102" i="17"/>
  <c r="G102" i="17"/>
  <c r="G90" i="17" s="1"/>
  <c r="G110" i="17" s="1"/>
  <c r="F102" i="17"/>
  <c r="F90" i="17" s="1"/>
  <c r="F110" i="17" s="1"/>
  <c r="E102" i="17"/>
  <c r="D102" i="17"/>
  <c r="C102" i="17"/>
  <c r="H90" i="17"/>
  <c r="H110" i="17" s="1"/>
  <c r="E89" i="17"/>
  <c r="E106" i="17" s="1"/>
  <c r="D89" i="17"/>
  <c r="D106" i="17" s="1"/>
  <c r="L83" i="17"/>
  <c r="K83" i="17"/>
  <c r="J83" i="17"/>
  <c r="I83" i="17"/>
  <c r="H83" i="17"/>
  <c r="G83" i="17"/>
  <c r="F83" i="17"/>
  <c r="E83" i="17"/>
  <c r="D83" i="17"/>
  <c r="C83" i="17"/>
  <c r="L82" i="17"/>
  <c r="K82" i="17"/>
  <c r="J82" i="17"/>
  <c r="I82" i="17"/>
  <c r="H82" i="17"/>
  <c r="G82" i="17"/>
  <c r="F82" i="17"/>
  <c r="E82" i="17"/>
  <c r="D82" i="17"/>
  <c r="C82" i="17"/>
  <c r="L79" i="17"/>
  <c r="K79" i="17"/>
  <c r="J79" i="17"/>
  <c r="I79" i="17"/>
  <c r="H79" i="17"/>
  <c r="G79" i="17"/>
  <c r="F79" i="17"/>
  <c r="E79" i="17"/>
  <c r="D79" i="17"/>
  <c r="C79" i="17"/>
  <c r="L78" i="17"/>
  <c r="K78" i="17"/>
  <c r="J78" i="17"/>
  <c r="I78" i="17"/>
  <c r="H78" i="17"/>
  <c r="G78" i="17"/>
  <c r="F78" i="17"/>
  <c r="E78" i="17"/>
  <c r="D78" i="17"/>
  <c r="C78" i="17"/>
  <c r="L49" i="17"/>
  <c r="K49" i="17"/>
  <c r="J49" i="17"/>
  <c r="I49" i="17"/>
  <c r="H49" i="17"/>
  <c r="G49" i="17"/>
  <c r="F49" i="17"/>
  <c r="E49" i="17"/>
  <c r="D49" i="17"/>
  <c r="C49" i="17"/>
  <c r="L48" i="17"/>
  <c r="K48" i="17"/>
  <c r="J48" i="17"/>
  <c r="I48" i="17"/>
  <c r="H48" i="17"/>
  <c r="G48" i="17"/>
  <c r="F48" i="17"/>
  <c r="E48" i="17"/>
  <c r="D48" i="17"/>
  <c r="C48" i="17"/>
  <c r="L33" i="17"/>
  <c r="L53" i="17" s="1"/>
  <c r="K33" i="17"/>
  <c r="K53" i="17" s="1"/>
  <c r="J33" i="17"/>
  <c r="J53" i="17" s="1"/>
  <c r="I33" i="17"/>
  <c r="I53" i="17" s="1"/>
  <c r="H33" i="17"/>
  <c r="H52" i="17" s="1"/>
  <c r="G33" i="17"/>
  <c r="G53" i="17" s="1"/>
  <c r="F33" i="17"/>
  <c r="F53" i="17" s="1"/>
  <c r="E33" i="17"/>
  <c r="E53" i="17" s="1"/>
  <c r="D33" i="17"/>
  <c r="D53" i="17" s="1"/>
  <c r="C33" i="17"/>
  <c r="C53" i="17" s="1"/>
  <c r="L22" i="17"/>
  <c r="K22" i="17"/>
  <c r="J22" i="17"/>
  <c r="I22" i="17"/>
  <c r="H22" i="17"/>
  <c r="G22" i="17"/>
  <c r="F22" i="17"/>
  <c r="E22" i="17"/>
  <c r="D22" i="17"/>
  <c r="C22" i="17"/>
  <c r="L21" i="17"/>
  <c r="K21" i="17"/>
  <c r="J21" i="17"/>
  <c r="I21" i="17"/>
  <c r="H21" i="17"/>
  <c r="G21" i="17"/>
  <c r="F21" i="17"/>
  <c r="E21" i="17"/>
  <c r="D21" i="17"/>
  <c r="C21" i="17"/>
  <c r="F18" i="17"/>
  <c r="D18" i="17"/>
  <c r="D6" i="17" s="1"/>
  <c r="C18" i="17"/>
  <c r="F8" i="17"/>
  <c r="F6" i="17" s="1"/>
  <c r="F26" i="17" s="1"/>
  <c r="C8" i="17"/>
  <c r="L6" i="17"/>
  <c r="L26" i="17" s="1"/>
  <c r="K6" i="17"/>
  <c r="K25" i="17" s="1"/>
  <c r="J6" i="17"/>
  <c r="J25" i="17" s="1"/>
  <c r="I6" i="17"/>
  <c r="I26" i="17" s="1"/>
  <c r="H6" i="17"/>
  <c r="H26" i="17" s="1"/>
  <c r="G6" i="17"/>
  <c r="G26" i="17" s="1"/>
  <c r="E6" i="17"/>
  <c r="E25" i="17" s="1"/>
  <c r="C87" i="3"/>
  <c r="C89" i="3"/>
  <c r="C95" i="3"/>
  <c r="L117" i="17" l="1"/>
  <c r="L137" i="17" s="1"/>
  <c r="C117" i="17"/>
  <c r="C137" i="17" s="1"/>
  <c r="I117" i="17"/>
  <c r="I137" i="17" s="1"/>
  <c r="F117" i="17"/>
  <c r="G117" i="17"/>
  <c r="G137" i="17" s="1"/>
  <c r="I25" i="17"/>
  <c r="K26" i="17"/>
  <c r="K117" i="17"/>
  <c r="K137" i="17" s="1"/>
  <c r="C52" i="17"/>
  <c r="D105" i="17"/>
  <c r="E117" i="17"/>
  <c r="E137" i="17" s="1"/>
  <c r="D117" i="17"/>
  <c r="D137" i="17" s="1"/>
  <c r="E26" i="17"/>
  <c r="I52" i="17"/>
  <c r="J26" i="17"/>
  <c r="J52" i="17"/>
  <c r="C6" i="17"/>
  <c r="C26" i="17" s="1"/>
  <c r="K52" i="17"/>
  <c r="H136" i="17"/>
  <c r="L25" i="17"/>
  <c r="F136" i="17"/>
  <c r="F137" i="17"/>
  <c r="G136" i="17"/>
  <c r="D25" i="17"/>
  <c r="D26" i="17"/>
  <c r="F109" i="17"/>
  <c r="F25" i="17"/>
  <c r="D52" i="17"/>
  <c r="L52" i="17"/>
  <c r="G109" i="17"/>
  <c r="J136" i="17"/>
  <c r="G25" i="17"/>
  <c r="E52" i="17"/>
  <c r="H109" i="17"/>
  <c r="C136" i="17"/>
  <c r="H25" i="17"/>
  <c r="F52" i="17"/>
  <c r="E105" i="17"/>
  <c r="L136" i="17"/>
  <c r="G52" i="17"/>
  <c r="H53" i="17"/>
  <c r="E20" i="4"/>
  <c r="E136" i="17" l="1"/>
  <c r="K136" i="17"/>
  <c r="I136" i="17"/>
  <c r="D136" i="17"/>
  <c r="C25" i="17"/>
  <c r="L127" i="9"/>
  <c r="L126" i="9"/>
  <c r="L128" i="9" l="1"/>
  <c r="K110" i="3"/>
  <c r="L111" i="4" l="1"/>
  <c r="D12" i="10" l="1"/>
  <c r="E12" i="10"/>
  <c r="F12" i="10"/>
  <c r="G12" i="10"/>
  <c r="H12" i="10"/>
  <c r="I12" i="10"/>
  <c r="J12" i="10"/>
  <c r="K12" i="10"/>
  <c r="L12" i="10"/>
  <c r="E9" i="10"/>
  <c r="F9" i="10"/>
  <c r="G9" i="10"/>
  <c r="H9" i="10"/>
  <c r="I9" i="10"/>
  <c r="K9" i="10"/>
  <c r="L9" i="10"/>
  <c r="D6" i="10"/>
  <c r="E6" i="10"/>
  <c r="F6" i="10"/>
  <c r="G6" i="10"/>
  <c r="H6" i="10"/>
  <c r="I6" i="10"/>
  <c r="J6" i="10"/>
  <c r="K6" i="10"/>
  <c r="L6" i="10"/>
  <c r="C6" i="10"/>
  <c r="D11" i="6"/>
  <c r="E11" i="6"/>
  <c r="F11" i="6"/>
  <c r="G11" i="6"/>
  <c r="H11" i="6"/>
  <c r="I11" i="6"/>
  <c r="J11" i="6"/>
  <c r="K11" i="6"/>
  <c r="L11" i="6"/>
  <c r="D7" i="6"/>
  <c r="E7" i="6"/>
  <c r="F7" i="6"/>
  <c r="G7" i="6"/>
  <c r="H7" i="6"/>
  <c r="I7" i="6"/>
  <c r="J7" i="6"/>
  <c r="K7" i="6"/>
  <c r="L7" i="6"/>
  <c r="C7" i="6"/>
  <c r="D20" i="5"/>
  <c r="E20" i="5"/>
  <c r="F20" i="5"/>
  <c r="G20" i="5"/>
  <c r="H20" i="5"/>
  <c r="I20" i="5"/>
  <c r="J20" i="5"/>
  <c r="K20" i="5"/>
  <c r="L20" i="5"/>
  <c r="C20" i="5"/>
  <c r="D17" i="5"/>
  <c r="E17" i="5"/>
  <c r="F17" i="5"/>
  <c r="G17" i="5"/>
  <c r="H17" i="5"/>
  <c r="I17" i="5"/>
  <c r="J17" i="5"/>
  <c r="K17" i="5"/>
  <c r="L17" i="5"/>
  <c r="C17" i="5"/>
  <c r="D14" i="5"/>
  <c r="E14" i="5"/>
  <c r="F14" i="5"/>
  <c r="G14" i="5"/>
  <c r="H14" i="5"/>
  <c r="I14" i="5"/>
  <c r="J14" i="5"/>
  <c r="K14" i="5"/>
  <c r="L14" i="5"/>
  <c r="C14" i="5"/>
  <c r="D12" i="5"/>
  <c r="F12" i="5"/>
  <c r="G12" i="5"/>
  <c r="H12" i="5"/>
  <c r="I12" i="5"/>
  <c r="J12" i="5"/>
  <c r="K12" i="5"/>
  <c r="L12" i="5"/>
  <c r="C12" i="5"/>
  <c r="D9" i="5"/>
  <c r="E9" i="5"/>
  <c r="F9" i="5"/>
  <c r="G9" i="5"/>
  <c r="H9" i="5"/>
  <c r="I9" i="5"/>
  <c r="J9" i="5"/>
  <c r="K9" i="5"/>
  <c r="L9" i="5"/>
  <c r="C9" i="5"/>
  <c r="D20" i="4"/>
  <c r="F20" i="4"/>
  <c r="G20" i="4"/>
  <c r="H20" i="4"/>
  <c r="I20" i="4"/>
  <c r="J20" i="4"/>
  <c r="K20" i="4"/>
  <c r="L20" i="4"/>
  <c r="D21" i="4"/>
  <c r="E21" i="4"/>
  <c r="F21" i="4"/>
  <c r="G21" i="4"/>
  <c r="H21" i="4"/>
  <c r="I21" i="4"/>
  <c r="J21" i="4"/>
  <c r="K21" i="4"/>
  <c r="L21" i="4"/>
  <c r="C20" i="4"/>
  <c r="D21" i="3"/>
  <c r="E21" i="3"/>
  <c r="F21" i="3"/>
  <c r="G21" i="3"/>
  <c r="H21" i="3"/>
  <c r="I21" i="3"/>
  <c r="J21" i="3"/>
  <c r="K21" i="3"/>
  <c r="L21" i="3"/>
  <c r="D20" i="3"/>
  <c r="E20" i="3"/>
  <c r="F20" i="3"/>
  <c r="G20" i="3"/>
  <c r="H20" i="3"/>
  <c r="I20" i="3"/>
  <c r="J20" i="3"/>
  <c r="K20" i="3"/>
  <c r="L20" i="3"/>
  <c r="D17" i="3"/>
  <c r="E17" i="3"/>
  <c r="F17" i="3"/>
  <c r="G17" i="3"/>
  <c r="H17" i="3"/>
  <c r="I17" i="3"/>
  <c r="J17" i="3"/>
  <c r="K17" i="3"/>
  <c r="L17" i="3"/>
  <c r="D16" i="3"/>
  <c r="E16" i="3"/>
  <c r="F16" i="3"/>
  <c r="G16" i="3"/>
  <c r="H16" i="3"/>
  <c r="I16" i="3"/>
  <c r="J16" i="3"/>
  <c r="K16" i="3"/>
  <c r="L16" i="3"/>
  <c r="D10" i="3"/>
  <c r="E10" i="3"/>
  <c r="F10" i="3"/>
  <c r="G10" i="3"/>
  <c r="H10" i="3"/>
  <c r="I10" i="3"/>
  <c r="J10" i="3"/>
  <c r="K10" i="3"/>
  <c r="L10" i="3"/>
  <c r="C10" i="3"/>
  <c r="D8" i="3"/>
  <c r="E8" i="3"/>
  <c r="F8" i="3"/>
  <c r="G8" i="3"/>
  <c r="H8" i="3"/>
  <c r="I8" i="3"/>
  <c r="J8" i="3"/>
  <c r="K8" i="3"/>
  <c r="C8" i="3"/>
  <c r="AB13" i="11" l="1"/>
  <c r="AA13" i="11"/>
  <c r="X10" i="11"/>
  <c r="W8" i="11"/>
  <c r="L7" i="12" l="1"/>
  <c r="L15" i="12"/>
  <c r="L24" i="12"/>
  <c r="L32" i="12"/>
  <c r="L42" i="12"/>
  <c r="AF88" i="11"/>
  <c r="AF87" i="11"/>
  <c r="AE96" i="11"/>
  <c r="AE78" i="11" s="1"/>
  <c r="AD96" i="11"/>
  <c r="AD74" i="11" s="1"/>
  <c r="AE32" i="11"/>
  <c r="AD32" i="11"/>
  <c r="AE64" i="11"/>
  <c r="AE43" i="11" s="1"/>
  <c r="AD64" i="11"/>
  <c r="AD46" i="11" s="1"/>
  <c r="AF23" i="11"/>
  <c r="AF24" i="11"/>
  <c r="AF25" i="11"/>
  <c r="AF26" i="11"/>
  <c r="AF27" i="11"/>
  <c r="AF28" i="11"/>
  <c r="AF29" i="11"/>
  <c r="AF30" i="11"/>
  <c r="AF31" i="11"/>
  <c r="AF55" i="11"/>
  <c r="AF56" i="11"/>
  <c r="AF57" i="11"/>
  <c r="AF58" i="11"/>
  <c r="AF59" i="11"/>
  <c r="AF60" i="11"/>
  <c r="AF61" i="11"/>
  <c r="AF62" i="11"/>
  <c r="AF63" i="11"/>
  <c r="AF89" i="11"/>
  <c r="AF90" i="11"/>
  <c r="AF91" i="11"/>
  <c r="AF92" i="11"/>
  <c r="AF93" i="11"/>
  <c r="AF94" i="11"/>
  <c r="AF95" i="11"/>
  <c r="AF151" i="11"/>
  <c r="AF152" i="11"/>
  <c r="AF153" i="11"/>
  <c r="AF154" i="11"/>
  <c r="AF155" i="11"/>
  <c r="AF156" i="11"/>
  <c r="AF157" i="11"/>
  <c r="AF158" i="11"/>
  <c r="AF159" i="11"/>
  <c r="AD160" i="11"/>
  <c r="AD140" i="11" s="1"/>
  <c r="AE160" i="11"/>
  <c r="AE137" i="11" s="1"/>
  <c r="L66" i="10"/>
  <c r="L92" i="10"/>
  <c r="L8" i="9"/>
  <c r="L13" i="9"/>
  <c r="L18" i="9"/>
  <c r="L23" i="9"/>
  <c r="L34" i="9"/>
  <c r="L39" i="9"/>
  <c r="L47" i="9"/>
  <c r="L48" i="9"/>
  <c r="L34" i="10" s="1"/>
  <c r="L60" i="9"/>
  <c r="L65" i="9"/>
  <c r="L70" i="9"/>
  <c r="L73" i="9"/>
  <c r="L74" i="9"/>
  <c r="L60" i="10" s="1"/>
  <c r="L87" i="9"/>
  <c r="L92" i="9"/>
  <c r="L100" i="9"/>
  <c r="L101" i="9"/>
  <c r="L89" i="10" s="1"/>
  <c r="L113" i="9"/>
  <c r="L118" i="9"/>
  <c r="L123" i="9"/>
  <c r="L86" i="10" l="1"/>
  <c r="AD71" i="11"/>
  <c r="AF96" i="11"/>
  <c r="AF77" i="11" s="1"/>
  <c r="L75" i="9"/>
  <c r="AD13" i="11"/>
  <c r="AD15" i="11"/>
  <c r="AD7" i="11"/>
  <c r="AD10" i="11"/>
  <c r="AD14" i="11"/>
  <c r="AD9" i="11"/>
  <c r="AD11" i="11"/>
  <c r="AD8" i="11"/>
  <c r="AD16" i="11"/>
  <c r="AD12" i="11"/>
  <c r="AE15" i="11"/>
  <c r="AE9" i="11"/>
  <c r="AE7" i="11"/>
  <c r="AE12" i="11"/>
  <c r="AE13" i="11"/>
  <c r="AE8" i="11"/>
  <c r="AE16" i="11"/>
  <c r="AE10" i="11"/>
  <c r="AE11" i="11"/>
  <c r="AE14" i="11"/>
  <c r="AE47" i="11"/>
  <c r="AD43" i="11"/>
  <c r="AD42" i="11"/>
  <c r="AE46" i="11"/>
  <c r="AD39" i="11"/>
  <c r="AD17" i="11"/>
  <c r="L63" i="10"/>
  <c r="AD41" i="11"/>
  <c r="L49" i="9"/>
  <c r="L37" i="10"/>
  <c r="L115" i="10"/>
  <c r="L112" i="10"/>
  <c r="AE139" i="11"/>
  <c r="AE138" i="11"/>
  <c r="AD137" i="11"/>
  <c r="AF160" i="11"/>
  <c r="AF138" i="11" s="1"/>
  <c r="AD145" i="11"/>
  <c r="AE142" i="11"/>
  <c r="AE71" i="11"/>
  <c r="AE76" i="11"/>
  <c r="AD76" i="11"/>
  <c r="AD75" i="11"/>
  <c r="AE73" i="11"/>
  <c r="AE81" i="11"/>
  <c r="AE72" i="11"/>
  <c r="AD79" i="11"/>
  <c r="AE17" i="11"/>
  <c r="AD40" i="11"/>
  <c r="AE40" i="11"/>
  <c r="AE39" i="11"/>
  <c r="AF32" i="11"/>
  <c r="AD142" i="11"/>
  <c r="AF64" i="11"/>
  <c r="AF42" i="11" s="1"/>
  <c r="AD139" i="11"/>
  <c r="AE136" i="11"/>
  <c r="AD81" i="11"/>
  <c r="AD73" i="11"/>
  <c r="AE45" i="11"/>
  <c r="AE141" i="11"/>
  <c r="AD136" i="11"/>
  <c r="AD78" i="11"/>
  <c r="AE75" i="11"/>
  <c r="AD45" i="11"/>
  <c r="AE42" i="11"/>
  <c r="AE143" i="11"/>
  <c r="AD138" i="11"/>
  <c r="AE135" i="11"/>
  <c r="AE77" i="11"/>
  <c r="AD72" i="11"/>
  <c r="AD47" i="11"/>
  <c r="AE44" i="11"/>
  <c r="AD141" i="11"/>
  <c r="AD143" i="11"/>
  <c r="AE140" i="11"/>
  <c r="AD135" i="11"/>
  <c r="AD77" i="11"/>
  <c r="AE74" i="11"/>
  <c r="AE49" i="11"/>
  <c r="AD44" i="11"/>
  <c r="AE41" i="11"/>
  <c r="AE145" i="11"/>
  <c r="AE79" i="11"/>
  <c r="AD49" i="11"/>
  <c r="L102" i="9"/>
  <c r="L49" i="8"/>
  <c r="L75" i="8"/>
  <c r="L101" i="8"/>
  <c r="L127" i="8"/>
  <c r="L33" i="6"/>
  <c r="L37" i="6"/>
  <c r="L59" i="6"/>
  <c r="L63" i="6"/>
  <c r="L85" i="6"/>
  <c r="L89" i="6"/>
  <c r="L111" i="6"/>
  <c r="L115" i="6"/>
  <c r="L35" i="5"/>
  <c r="L38" i="5"/>
  <c r="L40" i="5"/>
  <c r="L43" i="5"/>
  <c r="L46" i="5"/>
  <c r="L61" i="5"/>
  <c r="L64" i="5"/>
  <c r="L66" i="5"/>
  <c r="L69" i="5"/>
  <c r="L72" i="5"/>
  <c r="L87" i="5"/>
  <c r="L90" i="5"/>
  <c r="L92" i="5"/>
  <c r="L95" i="5"/>
  <c r="L113" i="5"/>
  <c r="L116" i="5"/>
  <c r="L118" i="5"/>
  <c r="L121" i="5"/>
  <c r="L124" i="5"/>
  <c r="AF9" i="11" l="1"/>
  <c r="AF15" i="11"/>
  <c r="AF10" i="11"/>
  <c r="AF79" i="11"/>
  <c r="AF73" i="11"/>
  <c r="AF74" i="11"/>
  <c r="AF76" i="11"/>
  <c r="AF75" i="11"/>
  <c r="AF78" i="11"/>
  <c r="AF71" i="11"/>
  <c r="AF72" i="11"/>
  <c r="AF81" i="11"/>
  <c r="AF12" i="11"/>
  <c r="AF13" i="11"/>
  <c r="AF8" i="11"/>
  <c r="AF14" i="11"/>
  <c r="AF11" i="11"/>
  <c r="AE48" i="11"/>
  <c r="AF17" i="11"/>
  <c r="AF16" i="11"/>
  <c r="AF7" i="11"/>
  <c r="AF141" i="11"/>
  <c r="AF142" i="11"/>
  <c r="AF136" i="11"/>
  <c r="AF140" i="11"/>
  <c r="AF135" i="11"/>
  <c r="AF139" i="11"/>
  <c r="AF143" i="11"/>
  <c r="AF137" i="11"/>
  <c r="AF145" i="11"/>
  <c r="AE80" i="11"/>
  <c r="AD80" i="11"/>
  <c r="AF39" i="11"/>
  <c r="AF47" i="11"/>
  <c r="AF41" i="11"/>
  <c r="AD48" i="11"/>
  <c r="AE144" i="11"/>
  <c r="AF46" i="11"/>
  <c r="AF49" i="11"/>
  <c r="AF44" i="11"/>
  <c r="AF45" i="11"/>
  <c r="AF40" i="11"/>
  <c r="AD144" i="11"/>
  <c r="AF43" i="11"/>
  <c r="L32" i="4"/>
  <c r="L74" i="4"/>
  <c r="L75" i="4"/>
  <c r="L100" i="4"/>
  <c r="L101" i="4"/>
  <c r="L87" i="3"/>
  <c r="L35" i="3"/>
  <c r="L37" i="3"/>
  <c r="L43" i="3"/>
  <c r="L44" i="3"/>
  <c r="L47" i="3"/>
  <c r="L48" i="3"/>
  <c r="L61" i="3"/>
  <c r="L63" i="3"/>
  <c r="L69" i="3"/>
  <c r="L70" i="3"/>
  <c r="L73" i="3"/>
  <c r="L74" i="3"/>
  <c r="L89" i="3"/>
  <c r="L95" i="3"/>
  <c r="L96" i="3"/>
  <c r="L99" i="3"/>
  <c r="L100" i="3"/>
  <c r="L110" i="3"/>
  <c r="L126" i="3" s="1"/>
  <c r="L121" i="3"/>
  <c r="L122" i="3"/>
  <c r="AF80" i="11" l="1"/>
  <c r="L47" i="4"/>
  <c r="L40" i="10"/>
  <c r="AF144" i="11"/>
  <c r="L126" i="4"/>
  <c r="L118" i="10"/>
  <c r="AF48" i="11"/>
  <c r="L127" i="4"/>
  <c r="L48" i="4"/>
  <c r="L125" i="3"/>
  <c r="L115" i="3"/>
  <c r="L113" i="3"/>
  <c r="H110" i="3"/>
  <c r="H115" i="3" s="1"/>
  <c r="H113" i="3" l="1"/>
  <c r="J32" i="12"/>
  <c r="K32" i="12"/>
  <c r="C32" i="12"/>
  <c r="K59" i="6" l="1"/>
  <c r="C9" i="13" l="1"/>
  <c r="K42" i="12"/>
  <c r="J42" i="12"/>
  <c r="I42" i="12"/>
  <c r="H42" i="12"/>
  <c r="G42" i="12"/>
  <c r="F42" i="12"/>
  <c r="E42" i="12"/>
  <c r="D42" i="12"/>
  <c r="C42" i="12"/>
  <c r="I32" i="12"/>
  <c r="H32" i="12"/>
  <c r="G32" i="12"/>
  <c r="F32" i="12"/>
  <c r="E32" i="12"/>
  <c r="D32" i="12"/>
  <c r="K24" i="12"/>
  <c r="J24" i="12"/>
  <c r="I24" i="12"/>
  <c r="H24" i="12"/>
  <c r="G24" i="12"/>
  <c r="F24" i="12"/>
  <c r="E24" i="12"/>
  <c r="D24" i="12"/>
  <c r="C24" i="12"/>
  <c r="K15" i="12"/>
  <c r="J15" i="12"/>
  <c r="I15" i="12"/>
  <c r="H15" i="12"/>
  <c r="G15" i="12"/>
  <c r="F15" i="12"/>
  <c r="E15" i="12"/>
  <c r="D15" i="12"/>
  <c r="C15" i="12"/>
  <c r="K7" i="12"/>
  <c r="J7" i="12"/>
  <c r="I7" i="12"/>
  <c r="H7" i="12"/>
  <c r="F7" i="12"/>
  <c r="E7" i="12"/>
  <c r="D7" i="12"/>
  <c r="C7" i="12"/>
  <c r="AB160" i="11"/>
  <c r="AB141" i="11" s="1"/>
  <c r="AA160" i="11"/>
  <c r="AA145" i="11" s="1"/>
  <c r="Y160" i="11"/>
  <c r="Y137" i="11" s="1"/>
  <c r="X160" i="11"/>
  <c r="X140" i="11" s="1"/>
  <c r="V160" i="11"/>
  <c r="V139" i="11" s="1"/>
  <c r="U160" i="11"/>
  <c r="U141" i="11" s="1"/>
  <c r="S160" i="11"/>
  <c r="S140" i="11" s="1"/>
  <c r="R160" i="11"/>
  <c r="R142" i="11" s="1"/>
  <c r="P160" i="11"/>
  <c r="P138" i="11" s="1"/>
  <c r="O160" i="11"/>
  <c r="O139" i="11" s="1"/>
  <c r="M160" i="11"/>
  <c r="M138" i="11" s="1"/>
  <c r="L160" i="11"/>
  <c r="L143" i="11" s="1"/>
  <c r="J160" i="11"/>
  <c r="J142" i="11" s="1"/>
  <c r="I160" i="11"/>
  <c r="I136" i="11" s="1"/>
  <c r="G160" i="11"/>
  <c r="G139" i="11" s="1"/>
  <c r="F160" i="11"/>
  <c r="F141" i="11" s="1"/>
  <c r="D160" i="11"/>
  <c r="D141" i="11" s="1"/>
  <c r="C160" i="11"/>
  <c r="C145" i="11" s="1"/>
  <c r="AC159" i="11"/>
  <c r="Z159" i="11"/>
  <c r="W159" i="11"/>
  <c r="T159" i="11"/>
  <c r="Q159" i="11"/>
  <c r="N159" i="11"/>
  <c r="K159" i="11"/>
  <c r="H159" i="11"/>
  <c r="E159" i="11"/>
  <c r="AC158" i="11"/>
  <c r="Z158" i="11"/>
  <c r="W158" i="11"/>
  <c r="T158" i="11"/>
  <c r="Q158" i="11"/>
  <c r="N158" i="11"/>
  <c r="K158" i="11"/>
  <c r="H158" i="11"/>
  <c r="E158" i="11"/>
  <c r="AC157" i="11"/>
  <c r="Z157" i="11"/>
  <c r="W157" i="11"/>
  <c r="T157" i="11"/>
  <c r="Q157" i="11"/>
  <c r="N157" i="11"/>
  <c r="K157" i="11"/>
  <c r="H157" i="11"/>
  <c r="E157" i="11"/>
  <c r="AC156" i="11"/>
  <c r="Z156" i="11"/>
  <c r="W156" i="11"/>
  <c r="T156" i="11"/>
  <c r="Q156" i="11"/>
  <c r="N156" i="11"/>
  <c r="K156" i="11"/>
  <c r="H156" i="11"/>
  <c r="E156" i="11"/>
  <c r="AC155" i="11"/>
  <c r="Z155" i="11"/>
  <c r="W155" i="11"/>
  <c r="T155" i="11"/>
  <c r="Q155" i="11"/>
  <c r="N155" i="11"/>
  <c r="K155" i="11"/>
  <c r="H155" i="11"/>
  <c r="E155" i="11"/>
  <c r="AC154" i="11"/>
  <c r="Z154" i="11"/>
  <c r="W154" i="11"/>
  <c r="T154" i="11"/>
  <c r="Q154" i="11"/>
  <c r="N154" i="11"/>
  <c r="K154" i="11"/>
  <c r="H154" i="11"/>
  <c r="E154" i="11"/>
  <c r="AC153" i="11"/>
  <c r="Z153" i="11"/>
  <c r="W153" i="11"/>
  <c r="T153" i="11"/>
  <c r="Q153" i="11"/>
  <c r="N153" i="11"/>
  <c r="K153" i="11"/>
  <c r="H153" i="11"/>
  <c r="E153" i="11"/>
  <c r="AC152" i="11"/>
  <c r="Z152" i="11"/>
  <c r="W152" i="11"/>
  <c r="T152" i="11"/>
  <c r="Q152" i="11"/>
  <c r="N152" i="11"/>
  <c r="K152" i="11"/>
  <c r="H152" i="11"/>
  <c r="E152" i="11"/>
  <c r="AC151" i="11"/>
  <c r="Z151" i="11"/>
  <c r="W151" i="11"/>
  <c r="T151" i="11"/>
  <c r="Q151" i="11"/>
  <c r="N151" i="11"/>
  <c r="K151" i="11"/>
  <c r="H151" i="11"/>
  <c r="E151" i="11"/>
  <c r="S137" i="11"/>
  <c r="P137" i="11"/>
  <c r="G137" i="11"/>
  <c r="AB128" i="11"/>
  <c r="AB111" i="11" s="1"/>
  <c r="AA128" i="11"/>
  <c r="AA107" i="11" s="1"/>
  <c r="V128" i="11"/>
  <c r="V106" i="11" s="1"/>
  <c r="U128" i="11"/>
  <c r="U113" i="11" s="1"/>
  <c r="S128" i="11"/>
  <c r="S111" i="11" s="1"/>
  <c r="R128" i="11"/>
  <c r="R108" i="11" s="1"/>
  <c r="P128" i="11"/>
  <c r="P109" i="11" s="1"/>
  <c r="O128" i="11"/>
  <c r="O111" i="11" s="1"/>
  <c r="M128" i="11"/>
  <c r="M107" i="11" s="1"/>
  <c r="L128" i="11"/>
  <c r="L106" i="11" s="1"/>
  <c r="J128" i="11"/>
  <c r="J110" i="11" s="1"/>
  <c r="I128" i="11"/>
  <c r="I109" i="11" s="1"/>
  <c r="G128" i="11"/>
  <c r="G111" i="11" s="1"/>
  <c r="F128" i="11"/>
  <c r="F109" i="11" s="1"/>
  <c r="D128" i="11"/>
  <c r="D104" i="11" s="1"/>
  <c r="C128" i="11"/>
  <c r="C113" i="11" s="1"/>
  <c r="AC127" i="11"/>
  <c r="W127" i="11"/>
  <c r="T127" i="11"/>
  <c r="Q127" i="11"/>
  <c r="N127" i="11"/>
  <c r="K127" i="11"/>
  <c r="H127" i="11"/>
  <c r="E127" i="11"/>
  <c r="AC126" i="11"/>
  <c r="W126" i="11"/>
  <c r="T126" i="11"/>
  <c r="Q126" i="11"/>
  <c r="N126" i="11"/>
  <c r="K126" i="11"/>
  <c r="H126" i="11"/>
  <c r="E126" i="11"/>
  <c r="AC125" i="11"/>
  <c r="W125" i="11"/>
  <c r="T125" i="11"/>
  <c r="Q125" i="11"/>
  <c r="N125" i="11"/>
  <c r="K125" i="11"/>
  <c r="H125" i="11"/>
  <c r="E125" i="11"/>
  <c r="AC124" i="11"/>
  <c r="W124" i="11"/>
  <c r="T124" i="11"/>
  <c r="Q124" i="11"/>
  <c r="N124" i="11"/>
  <c r="K124" i="11"/>
  <c r="H124" i="11"/>
  <c r="E124" i="11"/>
  <c r="AC123" i="11"/>
  <c r="W123" i="11"/>
  <c r="T123" i="11"/>
  <c r="Q123" i="11"/>
  <c r="N123" i="11"/>
  <c r="K123" i="11"/>
  <c r="H123" i="11"/>
  <c r="E123" i="11"/>
  <c r="AC122" i="11"/>
  <c r="W122" i="11"/>
  <c r="T122" i="11"/>
  <c r="Q122" i="11"/>
  <c r="N122" i="11"/>
  <c r="K122" i="11"/>
  <c r="H122" i="11"/>
  <c r="E122" i="11"/>
  <c r="AC121" i="11"/>
  <c r="W121" i="11"/>
  <c r="T121" i="11"/>
  <c r="Q121" i="11"/>
  <c r="N121" i="11"/>
  <c r="K121" i="11"/>
  <c r="H121" i="11"/>
  <c r="E121" i="11"/>
  <c r="AC120" i="11"/>
  <c r="W120" i="11"/>
  <c r="T120" i="11"/>
  <c r="Q120" i="11"/>
  <c r="N120" i="11"/>
  <c r="K120" i="11"/>
  <c r="H120" i="11"/>
  <c r="E120" i="11"/>
  <c r="AC119" i="11"/>
  <c r="W119" i="11"/>
  <c r="T119" i="11"/>
  <c r="Q119" i="11"/>
  <c r="N119" i="11"/>
  <c r="K119" i="11"/>
  <c r="H119" i="11"/>
  <c r="E119" i="11"/>
  <c r="Z113" i="11"/>
  <c r="Y113" i="11"/>
  <c r="X113" i="11"/>
  <c r="S113" i="11"/>
  <c r="Z111" i="11"/>
  <c r="Y111" i="11"/>
  <c r="X111" i="11"/>
  <c r="Z110" i="11"/>
  <c r="Y110" i="11"/>
  <c r="X110" i="11"/>
  <c r="Z109" i="11"/>
  <c r="Y109" i="11"/>
  <c r="X109" i="11"/>
  <c r="Z108" i="11"/>
  <c r="Y108" i="11"/>
  <c r="X108" i="11"/>
  <c r="Z107" i="11"/>
  <c r="Y107" i="11"/>
  <c r="X107" i="11"/>
  <c r="Z106" i="11"/>
  <c r="Y106" i="11"/>
  <c r="X106" i="11"/>
  <c r="Z105" i="11"/>
  <c r="Y105" i="11"/>
  <c r="X105" i="11"/>
  <c r="AB104" i="11"/>
  <c r="Z104" i="11"/>
  <c r="Y104" i="11"/>
  <c r="X104" i="11"/>
  <c r="Z103" i="11"/>
  <c r="Y103" i="11"/>
  <c r="X103" i="11"/>
  <c r="AB96" i="11"/>
  <c r="AA96" i="11"/>
  <c r="Y96" i="11"/>
  <c r="X96" i="11"/>
  <c r="X79" i="11" s="1"/>
  <c r="V96" i="11"/>
  <c r="V81" i="11" s="1"/>
  <c r="U96" i="11"/>
  <c r="U72" i="11" s="1"/>
  <c r="S96" i="11"/>
  <c r="S78" i="11" s="1"/>
  <c r="R96" i="11"/>
  <c r="R71" i="11" s="1"/>
  <c r="P96" i="11"/>
  <c r="P73" i="11" s="1"/>
  <c r="O96" i="11"/>
  <c r="M96" i="11"/>
  <c r="M78" i="11" s="1"/>
  <c r="L96" i="11"/>
  <c r="L78" i="11" s="1"/>
  <c r="J96" i="11"/>
  <c r="J71" i="11" s="1"/>
  <c r="I96" i="11"/>
  <c r="I79" i="11" s="1"/>
  <c r="G96" i="11"/>
  <c r="G75" i="11" s="1"/>
  <c r="F96" i="11"/>
  <c r="F73" i="11" s="1"/>
  <c r="D96" i="11"/>
  <c r="D76" i="11" s="1"/>
  <c r="C96" i="11"/>
  <c r="C78" i="11" s="1"/>
  <c r="AC95" i="11"/>
  <c r="Z95" i="11"/>
  <c r="W95" i="11"/>
  <c r="T95" i="11"/>
  <c r="Q95" i="11"/>
  <c r="N95" i="11"/>
  <c r="K95" i="11"/>
  <c r="H95" i="11"/>
  <c r="E95" i="11"/>
  <c r="AC94" i="11"/>
  <c r="Z94" i="11"/>
  <c r="W94" i="11"/>
  <c r="T94" i="11"/>
  <c r="Q94" i="11"/>
  <c r="N94" i="11"/>
  <c r="K94" i="11"/>
  <c r="H94" i="11"/>
  <c r="E94" i="11"/>
  <c r="AC93" i="11"/>
  <c r="Z93" i="11"/>
  <c r="W93" i="11"/>
  <c r="T93" i="11"/>
  <c r="Q93" i="11"/>
  <c r="N93" i="11"/>
  <c r="K93" i="11"/>
  <c r="H93" i="11"/>
  <c r="E93" i="11"/>
  <c r="AC92" i="11"/>
  <c r="Z92" i="11"/>
  <c r="W92" i="11"/>
  <c r="T92" i="11"/>
  <c r="Q92" i="11"/>
  <c r="N92" i="11"/>
  <c r="K92" i="11"/>
  <c r="H92" i="11"/>
  <c r="E92" i="11"/>
  <c r="AC91" i="11"/>
  <c r="Z91" i="11"/>
  <c r="W91" i="11"/>
  <c r="T91" i="11"/>
  <c r="Q91" i="11"/>
  <c r="N91" i="11"/>
  <c r="K91" i="11"/>
  <c r="H91" i="11"/>
  <c r="E91" i="11"/>
  <c r="AC90" i="11"/>
  <c r="Z90" i="11"/>
  <c r="W90" i="11"/>
  <c r="T90" i="11"/>
  <c r="Q90" i="11"/>
  <c r="N90" i="11"/>
  <c r="K90" i="11"/>
  <c r="H90" i="11"/>
  <c r="E90" i="11"/>
  <c r="AC89" i="11"/>
  <c r="Z89" i="11"/>
  <c r="W89" i="11"/>
  <c r="T89" i="11"/>
  <c r="Q89" i="11"/>
  <c r="N89" i="11"/>
  <c r="K89" i="11"/>
  <c r="H89" i="11"/>
  <c r="E89" i="11"/>
  <c r="AC88" i="11"/>
  <c r="Z88" i="11"/>
  <c r="W88" i="11"/>
  <c r="T88" i="11"/>
  <c r="Q88" i="11"/>
  <c r="N88" i="11"/>
  <c r="K88" i="11"/>
  <c r="H88" i="11"/>
  <c r="E88" i="11"/>
  <c r="AC87" i="11"/>
  <c r="Z87" i="11"/>
  <c r="W87" i="11"/>
  <c r="T87" i="11"/>
  <c r="Q87" i="11"/>
  <c r="N87" i="11"/>
  <c r="K87" i="11"/>
  <c r="H87" i="11"/>
  <c r="E87" i="11"/>
  <c r="F81" i="11"/>
  <c r="U77" i="11"/>
  <c r="I74" i="11"/>
  <c r="AB64" i="11"/>
  <c r="AB49" i="11" s="1"/>
  <c r="AA64" i="11"/>
  <c r="AA44" i="11" s="1"/>
  <c r="Y64" i="11"/>
  <c r="Y49" i="11" s="1"/>
  <c r="X64" i="11"/>
  <c r="X49" i="11" s="1"/>
  <c r="V64" i="11"/>
  <c r="V43" i="11" s="1"/>
  <c r="U64" i="11"/>
  <c r="U39" i="11" s="1"/>
  <c r="S64" i="11"/>
  <c r="S39" i="11" s="1"/>
  <c r="R64" i="11"/>
  <c r="R39" i="11" s="1"/>
  <c r="P64" i="11"/>
  <c r="P44" i="11" s="1"/>
  <c r="O64" i="11"/>
  <c r="O43" i="11" s="1"/>
  <c r="M64" i="11"/>
  <c r="M49" i="11" s="1"/>
  <c r="L64" i="11"/>
  <c r="L49" i="11" s="1"/>
  <c r="J64" i="11"/>
  <c r="J43" i="11" s="1"/>
  <c r="I64" i="11"/>
  <c r="I40" i="11" s="1"/>
  <c r="G64" i="11"/>
  <c r="G41" i="11" s="1"/>
  <c r="F64" i="11"/>
  <c r="D64" i="11"/>
  <c r="D46" i="11" s="1"/>
  <c r="C64" i="11"/>
  <c r="C46" i="11" s="1"/>
  <c r="AC63" i="11"/>
  <c r="Z63" i="11"/>
  <c r="W63" i="11"/>
  <c r="T63" i="11"/>
  <c r="Q63" i="11"/>
  <c r="N63" i="11"/>
  <c r="K63" i="11"/>
  <c r="H63" i="11"/>
  <c r="E63" i="11"/>
  <c r="AC62" i="11"/>
  <c r="Z62" i="11"/>
  <c r="W62" i="11"/>
  <c r="T62" i="11"/>
  <c r="Q62" i="11"/>
  <c r="N62" i="11"/>
  <c r="K62" i="11"/>
  <c r="H62" i="11"/>
  <c r="E62" i="11"/>
  <c r="AC61" i="11"/>
  <c r="Z61" i="11"/>
  <c r="W61" i="11"/>
  <c r="T61" i="11"/>
  <c r="Q61" i="11"/>
  <c r="N61" i="11"/>
  <c r="K61" i="11"/>
  <c r="H61" i="11"/>
  <c r="E61" i="11"/>
  <c r="AC60" i="11"/>
  <c r="Z60" i="11"/>
  <c r="W60" i="11"/>
  <c r="T60" i="11"/>
  <c r="Q60" i="11"/>
  <c r="N60" i="11"/>
  <c r="K60" i="11"/>
  <c r="H60" i="11"/>
  <c r="E60" i="11"/>
  <c r="AC59" i="11"/>
  <c r="Z59" i="11"/>
  <c r="W59" i="11"/>
  <c r="T59" i="11"/>
  <c r="Q59" i="11"/>
  <c r="N59" i="11"/>
  <c r="K59" i="11"/>
  <c r="H59" i="11"/>
  <c r="E59" i="11"/>
  <c r="AC58" i="11"/>
  <c r="Z58" i="11"/>
  <c r="W58" i="11"/>
  <c r="T58" i="11"/>
  <c r="Q58" i="11"/>
  <c r="N58" i="11"/>
  <c r="K58" i="11"/>
  <c r="H58" i="11"/>
  <c r="E58" i="11"/>
  <c r="AC57" i="11"/>
  <c r="Z57" i="11"/>
  <c r="W57" i="11"/>
  <c r="T57" i="11"/>
  <c r="Q57" i="11"/>
  <c r="N57" i="11"/>
  <c r="K57" i="11"/>
  <c r="H57" i="11"/>
  <c r="E57" i="11"/>
  <c r="AC56" i="11"/>
  <c r="Z56" i="11"/>
  <c r="W56" i="11"/>
  <c r="T56" i="11"/>
  <c r="Q56" i="11"/>
  <c r="N56" i="11"/>
  <c r="K56" i="11"/>
  <c r="H56" i="11"/>
  <c r="E56" i="11"/>
  <c r="AC55" i="11"/>
  <c r="Z55" i="11"/>
  <c r="W55" i="11"/>
  <c r="T55" i="11"/>
  <c r="Q55" i="11"/>
  <c r="N55" i="11"/>
  <c r="K55" i="11"/>
  <c r="H55" i="11"/>
  <c r="E55" i="11"/>
  <c r="I49" i="11"/>
  <c r="I44" i="11"/>
  <c r="I43" i="11"/>
  <c r="R42" i="11"/>
  <c r="V41" i="11"/>
  <c r="Y32" i="11"/>
  <c r="X32" i="11"/>
  <c r="U32" i="11"/>
  <c r="U16" i="11" s="1"/>
  <c r="Q32" i="11"/>
  <c r="Q15" i="11" s="1"/>
  <c r="P32" i="11"/>
  <c r="P10" i="11" s="1"/>
  <c r="O32" i="11"/>
  <c r="O8" i="11" s="1"/>
  <c r="N32" i="11"/>
  <c r="N15" i="11" s="1"/>
  <c r="M32" i="11"/>
  <c r="M13" i="11" s="1"/>
  <c r="L32" i="11"/>
  <c r="L14" i="11" s="1"/>
  <c r="K32" i="11"/>
  <c r="K15" i="11" s="1"/>
  <c r="J32" i="11"/>
  <c r="I32" i="11"/>
  <c r="I12" i="11" s="1"/>
  <c r="H32" i="11"/>
  <c r="H7" i="11" s="1"/>
  <c r="G32" i="11"/>
  <c r="G10" i="11" s="1"/>
  <c r="F32" i="11"/>
  <c r="F15" i="11" s="1"/>
  <c r="E32" i="11"/>
  <c r="E13" i="11" s="1"/>
  <c r="D32" i="11"/>
  <c r="D17" i="11" s="1"/>
  <c r="C32" i="11"/>
  <c r="C14" i="11" s="1"/>
  <c r="AC31" i="11"/>
  <c r="S31" i="11"/>
  <c r="S32" i="11" s="1"/>
  <c r="S9" i="11" s="1"/>
  <c r="R31" i="11"/>
  <c r="AC30" i="11"/>
  <c r="T30" i="11"/>
  <c r="T14" i="11" s="1"/>
  <c r="AC29" i="11"/>
  <c r="Z29" i="11"/>
  <c r="Z32" i="11" s="1"/>
  <c r="T29" i="11"/>
  <c r="T13" i="11" s="1"/>
  <c r="AC28" i="11"/>
  <c r="T28" i="11"/>
  <c r="T12" i="11" s="1"/>
  <c r="R28" i="11"/>
  <c r="R12" i="11" s="1"/>
  <c r="Q28" i="11"/>
  <c r="O28" i="11"/>
  <c r="AC27" i="11"/>
  <c r="T27" i="11"/>
  <c r="T11" i="11" s="1"/>
  <c r="AC26" i="11"/>
  <c r="R26" i="11"/>
  <c r="AC25" i="11"/>
  <c r="T25" i="11"/>
  <c r="T9" i="11" s="1"/>
  <c r="Q25" i="11"/>
  <c r="O25" i="11"/>
  <c r="AC24" i="11"/>
  <c r="T24" i="11"/>
  <c r="AC23" i="11"/>
  <c r="AB17" i="11"/>
  <c r="AA17" i="11"/>
  <c r="Z17" i="11"/>
  <c r="Z7" i="11" s="1"/>
  <c r="AB16" i="11"/>
  <c r="AA16" i="11"/>
  <c r="W16" i="11"/>
  <c r="V16" i="11"/>
  <c r="AB15" i="11"/>
  <c r="AA15" i="11"/>
  <c r="Y15" i="11"/>
  <c r="X15" i="11"/>
  <c r="W15" i="11"/>
  <c r="V15" i="11"/>
  <c r="U15" i="11"/>
  <c r="AB14" i="11"/>
  <c r="AA14" i="11"/>
  <c r="Y14" i="11"/>
  <c r="X14" i="11"/>
  <c r="W14" i="11"/>
  <c r="V14" i="11"/>
  <c r="U14" i="11"/>
  <c r="R14" i="11"/>
  <c r="Y13" i="11"/>
  <c r="X13" i="11"/>
  <c r="W13" i="11"/>
  <c r="V13" i="11"/>
  <c r="U13" i="11"/>
  <c r="R13" i="11"/>
  <c r="AB12" i="11"/>
  <c r="AA12" i="11"/>
  <c r="Y12" i="11"/>
  <c r="X12" i="11"/>
  <c r="W12" i="11"/>
  <c r="V12" i="11"/>
  <c r="U12" i="11"/>
  <c r="AB11" i="11"/>
  <c r="AA11" i="11"/>
  <c r="Y11" i="11"/>
  <c r="X11" i="11"/>
  <c r="W11" i="11"/>
  <c r="V11" i="11"/>
  <c r="U11" i="11"/>
  <c r="R11" i="11"/>
  <c r="AB10" i="11"/>
  <c r="AA10" i="11"/>
  <c r="Y10" i="11"/>
  <c r="W10" i="11"/>
  <c r="V10" i="11"/>
  <c r="U10" i="11"/>
  <c r="F10" i="11"/>
  <c r="AB9" i="11"/>
  <c r="AA9" i="11"/>
  <c r="Y9" i="11"/>
  <c r="X9" i="11"/>
  <c r="W9" i="11"/>
  <c r="V9" i="11"/>
  <c r="U9" i="11"/>
  <c r="R9" i="11"/>
  <c r="AB8" i="11"/>
  <c r="AA8" i="11"/>
  <c r="Y8" i="11"/>
  <c r="X8" i="11"/>
  <c r="V8" i="11"/>
  <c r="U8" i="11"/>
  <c r="R8" i="11"/>
  <c r="AB7" i="11"/>
  <c r="AA7" i="11"/>
  <c r="Y7" i="11"/>
  <c r="X7" i="11"/>
  <c r="W7" i="11"/>
  <c r="V7" i="11"/>
  <c r="U7" i="11"/>
  <c r="T7" i="11"/>
  <c r="S7" i="11"/>
  <c r="R7" i="11"/>
  <c r="K92" i="10"/>
  <c r="J92" i="10"/>
  <c r="I92" i="10"/>
  <c r="H92" i="10"/>
  <c r="G92" i="10"/>
  <c r="F92" i="10"/>
  <c r="E92" i="10"/>
  <c r="D92" i="10"/>
  <c r="C92" i="10"/>
  <c r="F89" i="10"/>
  <c r="E89" i="10"/>
  <c r="D89" i="10"/>
  <c r="F86" i="10"/>
  <c r="E86" i="10"/>
  <c r="D86" i="10"/>
  <c r="K66" i="10"/>
  <c r="J66" i="10"/>
  <c r="I66" i="10"/>
  <c r="H66" i="10"/>
  <c r="G66" i="10"/>
  <c r="F66" i="10"/>
  <c r="E66" i="10"/>
  <c r="D66" i="10"/>
  <c r="C66" i="10"/>
  <c r="C12" i="10"/>
  <c r="J8" i="10"/>
  <c r="J9" i="10" s="1"/>
  <c r="D8" i="10"/>
  <c r="D9" i="10" s="1"/>
  <c r="C8" i="10"/>
  <c r="C9" i="10" s="1"/>
  <c r="K127" i="9"/>
  <c r="K115" i="10" s="1"/>
  <c r="J127" i="9"/>
  <c r="J112" i="10" s="1"/>
  <c r="I127" i="9"/>
  <c r="I115" i="10" s="1"/>
  <c r="H127" i="9"/>
  <c r="H115" i="10" s="1"/>
  <c r="G127" i="9"/>
  <c r="G112" i="10" s="1"/>
  <c r="E127" i="9"/>
  <c r="D127" i="9"/>
  <c r="D112" i="10" s="1"/>
  <c r="K126" i="9"/>
  <c r="J126" i="9"/>
  <c r="I126" i="9"/>
  <c r="H126" i="9"/>
  <c r="G126" i="9"/>
  <c r="E126" i="9"/>
  <c r="D126" i="9"/>
  <c r="K123" i="9"/>
  <c r="J123" i="9"/>
  <c r="I123" i="9"/>
  <c r="H123" i="9"/>
  <c r="G123" i="9"/>
  <c r="F123" i="9"/>
  <c r="E123" i="9"/>
  <c r="D123" i="9"/>
  <c r="C123" i="9"/>
  <c r="K118" i="9"/>
  <c r="J118" i="9"/>
  <c r="I118" i="9"/>
  <c r="H118" i="9"/>
  <c r="G118" i="9"/>
  <c r="E118" i="9"/>
  <c r="D118" i="9"/>
  <c r="F117" i="9"/>
  <c r="F127" i="9" s="1"/>
  <c r="F115" i="10" s="1"/>
  <c r="C117" i="9"/>
  <c r="F116" i="9"/>
  <c r="F126" i="9" s="1"/>
  <c r="C116" i="9"/>
  <c r="C126" i="9" s="1"/>
  <c r="K113" i="9"/>
  <c r="J113" i="9"/>
  <c r="I113" i="9"/>
  <c r="H113" i="9"/>
  <c r="G113" i="9"/>
  <c r="F113" i="9"/>
  <c r="E113" i="9"/>
  <c r="D113" i="9"/>
  <c r="C112" i="9"/>
  <c r="C111" i="6" s="1"/>
  <c r="E102" i="9"/>
  <c r="K101" i="9"/>
  <c r="K89" i="10" s="1"/>
  <c r="J101" i="9"/>
  <c r="I101" i="9"/>
  <c r="I86" i="10" s="1"/>
  <c r="H101" i="9"/>
  <c r="G101" i="9"/>
  <c r="G89" i="10" s="1"/>
  <c r="K100" i="9"/>
  <c r="J100" i="9"/>
  <c r="I100" i="9"/>
  <c r="H100" i="9"/>
  <c r="G100" i="9"/>
  <c r="F100" i="9"/>
  <c r="F102" i="9" s="1"/>
  <c r="D100" i="9"/>
  <c r="D102" i="9" s="1"/>
  <c r="K92" i="9"/>
  <c r="J92" i="9"/>
  <c r="I92" i="9"/>
  <c r="H92" i="9"/>
  <c r="G92" i="9"/>
  <c r="F92" i="9"/>
  <c r="E92" i="9"/>
  <c r="D92" i="9"/>
  <c r="C91" i="9"/>
  <c r="C90" i="9"/>
  <c r="K87" i="9"/>
  <c r="J87" i="9"/>
  <c r="I87" i="9"/>
  <c r="H87" i="9"/>
  <c r="G87" i="9"/>
  <c r="F87" i="9"/>
  <c r="D87" i="9"/>
  <c r="E86" i="9"/>
  <c r="E87" i="9" s="1"/>
  <c r="C86" i="9"/>
  <c r="C85" i="9"/>
  <c r="K74" i="9"/>
  <c r="K63" i="10" s="1"/>
  <c r="J74" i="9"/>
  <c r="J63" i="10" s="1"/>
  <c r="I74" i="9"/>
  <c r="I63" i="10" s="1"/>
  <c r="H74" i="9"/>
  <c r="H60" i="10" s="1"/>
  <c r="G74" i="9"/>
  <c r="G63" i="10" s="1"/>
  <c r="F74" i="9"/>
  <c r="E74" i="9"/>
  <c r="E63" i="10" s="1"/>
  <c r="D74" i="9"/>
  <c r="D60" i="10" s="1"/>
  <c r="C74" i="9"/>
  <c r="C63" i="10" s="1"/>
  <c r="K73" i="9"/>
  <c r="J73" i="9"/>
  <c r="I73" i="9"/>
  <c r="H73" i="9"/>
  <c r="G73" i="9"/>
  <c r="F73" i="9"/>
  <c r="E73" i="9"/>
  <c r="D73" i="9"/>
  <c r="C73" i="9"/>
  <c r="K70" i="9"/>
  <c r="J70" i="9"/>
  <c r="I70" i="9"/>
  <c r="H70" i="9"/>
  <c r="G70" i="9"/>
  <c r="F70" i="9"/>
  <c r="E70" i="9"/>
  <c r="D70" i="9"/>
  <c r="C70" i="9"/>
  <c r="K65" i="9"/>
  <c r="J65" i="9"/>
  <c r="I65" i="9"/>
  <c r="H65" i="9"/>
  <c r="G65" i="9"/>
  <c r="F65" i="9"/>
  <c r="E65" i="9"/>
  <c r="D65" i="9"/>
  <c r="C65" i="9"/>
  <c r="K60" i="9"/>
  <c r="J60" i="9"/>
  <c r="I60" i="9"/>
  <c r="H60" i="9"/>
  <c r="G60" i="9"/>
  <c r="F60" i="9"/>
  <c r="E60" i="9"/>
  <c r="D60" i="9"/>
  <c r="C60" i="9"/>
  <c r="K48" i="9"/>
  <c r="K34" i="10" s="1"/>
  <c r="J48" i="9"/>
  <c r="J34" i="10" s="1"/>
  <c r="I48" i="9"/>
  <c r="I37" i="10" s="1"/>
  <c r="H48" i="9"/>
  <c r="H37" i="10" s="1"/>
  <c r="G48" i="9"/>
  <c r="G34" i="10" s="1"/>
  <c r="F48" i="9"/>
  <c r="F37" i="10" s="1"/>
  <c r="E48" i="9"/>
  <c r="E37" i="10" s="1"/>
  <c r="D48" i="9"/>
  <c r="C48" i="9"/>
  <c r="C34" i="10" s="1"/>
  <c r="K47" i="9"/>
  <c r="J47" i="9"/>
  <c r="I47" i="9"/>
  <c r="H47" i="9"/>
  <c r="G47" i="9"/>
  <c r="F47" i="9"/>
  <c r="E47" i="9"/>
  <c r="D47" i="9"/>
  <c r="C47" i="9"/>
  <c r="K39" i="9"/>
  <c r="J39" i="9"/>
  <c r="I39" i="9"/>
  <c r="H39" i="9"/>
  <c r="G39" i="9"/>
  <c r="F39" i="9"/>
  <c r="E39" i="9"/>
  <c r="D39" i="9"/>
  <c r="C39" i="9"/>
  <c r="K34" i="9"/>
  <c r="J34" i="9"/>
  <c r="I34" i="9"/>
  <c r="H34" i="9"/>
  <c r="G34" i="9"/>
  <c r="F34" i="9"/>
  <c r="E34" i="9"/>
  <c r="D34" i="9"/>
  <c r="C34" i="9"/>
  <c r="K23" i="9"/>
  <c r="J23" i="9"/>
  <c r="I23" i="9"/>
  <c r="H23" i="9"/>
  <c r="G23" i="9"/>
  <c r="F23" i="9"/>
  <c r="E23" i="9"/>
  <c r="D23" i="9"/>
  <c r="C23" i="9"/>
  <c r="K18" i="9"/>
  <c r="J18" i="9"/>
  <c r="I18" i="9"/>
  <c r="H18" i="9"/>
  <c r="G18" i="9"/>
  <c r="F18" i="9"/>
  <c r="E18" i="9"/>
  <c r="D18" i="9"/>
  <c r="C18" i="9"/>
  <c r="K13" i="9"/>
  <c r="J13" i="9"/>
  <c r="I13" i="9"/>
  <c r="H13" i="9"/>
  <c r="G13" i="9"/>
  <c r="F13" i="9"/>
  <c r="E13" i="9"/>
  <c r="D13" i="9"/>
  <c r="C13" i="9"/>
  <c r="K8" i="9"/>
  <c r="J8" i="9"/>
  <c r="I8" i="9"/>
  <c r="H8" i="9"/>
  <c r="G8" i="9"/>
  <c r="F8" i="9"/>
  <c r="E8" i="9"/>
  <c r="D8" i="9"/>
  <c r="C8" i="9"/>
  <c r="K127" i="8"/>
  <c r="J127" i="8"/>
  <c r="I127" i="8"/>
  <c r="H127" i="8"/>
  <c r="G127" i="8"/>
  <c r="F127" i="8"/>
  <c r="E127" i="8"/>
  <c r="D127" i="8"/>
  <c r="C127" i="8"/>
  <c r="K101" i="8"/>
  <c r="J101" i="8"/>
  <c r="I101" i="8"/>
  <c r="H101" i="8"/>
  <c r="G101" i="8"/>
  <c r="F101" i="8"/>
  <c r="E101" i="8"/>
  <c r="D101" i="8"/>
  <c r="C101" i="8"/>
  <c r="K75" i="8"/>
  <c r="J75" i="8"/>
  <c r="I75" i="8"/>
  <c r="H75" i="8"/>
  <c r="G75" i="8"/>
  <c r="F75" i="8"/>
  <c r="E75" i="8"/>
  <c r="D75" i="8"/>
  <c r="C75" i="8"/>
  <c r="K49" i="8"/>
  <c r="J49" i="8"/>
  <c r="I49" i="8"/>
  <c r="H49" i="8"/>
  <c r="G49" i="8"/>
  <c r="F49" i="8"/>
  <c r="E49" i="8"/>
  <c r="D49" i="8"/>
  <c r="C49" i="8"/>
  <c r="C40" i="8"/>
  <c r="K115" i="6"/>
  <c r="J115" i="6"/>
  <c r="I115" i="6"/>
  <c r="H115" i="6"/>
  <c r="G115" i="6"/>
  <c r="E115" i="6"/>
  <c r="D115" i="6"/>
  <c r="K111" i="6"/>
  <c r="J111" i="6"/>
  <c r="I111" i="6"/>
  <c r="H111" i="6"/>
  <c r="G111" i="6"/>
  <c r="F111" i="6"/>
  <c r="E111" i="6"/>
  <c r="D111" i="6"/>
  <c r="K89" i="6"/>
  <c r="J89" i="6"/>
  <c r="I89" i="6"/>
  <c r="H89" i="6"/>
  <c r="G89" i="6"/>
  <c r="F89" i="6"/>
  <c r="E89" i="6"/>
  <c r="D89" i="6"/>
  <c r="K85" i="6"/>
  <c r="J85" i="6"/>
  <c r="I85" i="6"/>
  <c r="H85" i="6"/>
  <c r="G85" i="6"/>
  <c r="F85" i="6"/>
  <c r="D85" i="6"/>
  <c r="K63" i="6"/>
  <c r="J63" i="6"/>
  <c r="I63" i="6"/>
  <c r="H63" i="6"/>
  <c r="G63" i="6"/>
  <c r="F63" i="6"/>
  <c r="E63" i="6"/>
  <c r="D63" i="6"/>
  <c r="C63" i="6"/>
  <c r="J59" i="6"/>
  <c r="I59" i="6"/>
  <c r="H59" i="6"/>
  <c r="G59" i="6"/>
  <c r="F59" i="6"/>
  <c r="E59" i="6"/>
  <c r="D59" i="6"/>
  <c r="C59" i="6"/>
  <c r="K37" i="6"/>
  <c r="J37" i="6"/>
  <c r="I37" i="6"/>
  <c r="H37" i="6"/>
  <c r="G37" i="6"/>
  <c r="F37" i="6"/>
  <c r="E37" i="6"/>
  <c r="D37" i="6"/>
  <c r="C37" i="6"/>
  <c r="K33" i="6"/>
  <c r="J33" i="6"/>
  <c r="I33" i="6"/>
  <c r="H33" i="6"/>
  <c r="G33" i="6"/>
  <c r="F33" i="6"/>
  <c r="E33" i="6"/>
  <c r="D33" i="6"/>
  <c r="C33" i="6"/>
  <c r="C11" i="6"/>
  <c r="K124" i="5"/>
  <c r="J124" i="5"/>
  <c r="I124" i="5"/>
  <c r="H124" i="5"/>
  <c r="G124" i="5"/>
  <c r="F124" i="5"/>
  <c r="E124" i="5"/>
  <c r="D124" i="5"/>
  <c r="C124" i="5"/>
  <c r="K121" i="5"/>
  <c r="J121" i="5"/>
  <c r="I121" i="5"/>
  <c r="H121" i="5"/>
  <c r="G121" i="5"/>
  <c r="F121" i="5"/>
  <c r="E121" i="5"/>
  <c r="D121" i="5"/>
  <c r="C121" i="5"/>
  <c r="K118" i="5"/>
  <c r="J118" i="5"/>
  <c r="I118" i="5"/>
  <c r="H118" i="5"/>
  <c r="G118" i="5"/>
  <c r="F118" i="5"/>
  <c r="E118" i="5"/>
  <c r="D118" i="5"/>
  <c r="C118" i="5"/>
  <c r="K116" i="5"/>
  <c r="J116" i="5"/>
  <c r="I116" i="5"/>
  <c r="H116" i="5"/>
  <c r="G116" i="5"/>
  <c r="F116" i="5"/>
  <c r="E116" i="5"/>
  <c r="D116" i="5"/>
  <c r="C116" i="5"/>
  <c r="K113" i="5"/>
  <c r="J113" i="5"/>
  <c r="I113" i="5"/>
  <c r="H113" i="5"/>
  <c r="G113" i="5"/>
  <c r="F113" i="5"/>
  <c r="E113" i="5"/>
  <c r="D113" i="5"/>
  <c r="C113" i="5"/>
  <c r="J95" i="5"/>
  <c r="I95" i="5"/>
  <c r="H95" i="5"/>
  <c r="G95" i="5"/>
  <c r="E95" i="5"/>
  <c r="D95" i="5"/>
  <c r="C95" i="5"/>
  <c r="J92" i="5"/>
  <c r="I92" i="5"/>
  <c r="H92" i="5"/>
  <c r="G92" i="5"/>
  <c r="E92" i="5"/>
  <c r="D92" i="5"/>
  <c r="C92" i="5"/>
  <c r="J90" i="5"/>
  <c r="I90" i="5"/>
  <c r="H90" i="5"/>
  <c r="G90" i="5"/>
  <c r="E90" i="5"/>
  <c r="D90" i="5"/>
  <c r="C89" i="5"/>
  <c r="C90" i="5" s="1"/>
  <c r="J87" i="5"/>
  <c r="I87" i="5"/>
  <c r="H87" i="5"/>
  <c r="G87" i="5"/>
  <c r="E87" i="5"/>
  <c r="D87" i="5"/>
  <c r="C87" i="5"/>
  <c r="K95" i="5"/>
  <c r="F83" i="5"/>
  <c r="F95" i="5" s="1"/>
  <c r="K72" i="5"/>
  <c r="J72" i="5"/>
  <c r="I72" i="5"/>
  <c r="H72" i="5"/>
  <c r="G72" i="5"/>
  <c r="F72" i="5"/>
  <c r="E72" i="5"/>
  <c r="D72" i="5"/>
  <c r="C72" i="5"/>
  <c r="K69" i="5"/>
  <c r="J69" i="5"/>
  <c r="I69" i="5"/>
  <c r="H69" i="5"/>
  <c r="G69" i="5"/>
  <c r="F69" i="5"/>
  <c r="E69" i="5"/>
  <c r="D69" i="5"/>
  <c r="C69" i="5"/>
  <c r="K66" i="5"/>
  <c r="J66" i="5"/>
  <c r="I66" i="5"/>
  <c r="H66" i="5"/>
  <c r="G66" i="5"/>
  <c r="F66" i="5"/>
  <c r="E66" i="5"/>
  <c r="D66" i="5"/>
  <c r="C66" i="5"/>
  <c r="K64" i="5"/>
  <c r="J64" i="5"/>
  <c r="I64" i="5"/>
  <c r="H64" i="5"/>
  <c r="G64" i="5"/>
  <c r="F64" i="5"/>
  <c r="E64" i="5"/>
  <c r="D64" i="5"/>
  <c r="C64" i="5"/>
  <c r="K61" i="5"/>
  <c r="J61" i="5"/>
  <c r="I61" i="5"/>
  <c r="H61" i="5"/>
  <c r="G61" i="5"/>
  <c r="F61" i="5"/>
  <c r="E61" i="5"/>
  <c r="D61" i="5"/>
  <c r="C61" i="5"/>
  <c r="K46" i="5"/>
  <c r="J46" i="5"/>
  <c r="I46" i="5"/>
  <c r="H46" i="5"/>
  <c r="G46" i="5"/>
  <c r="F46" i="5"/>
  <c r="E46" i="5"/>
  <c r="D46" i="5"/>
  <c r="C46" i="5"/>
  <c r="K43" i="5"/>
  <c r="J43" i="5"/>
  <c r="I43" i="5"/>
  <c r="H43" i="5"/>
  <c r="G43" i="5"/>
  <c r="F43" i="5"/>
  <c r="E43" i="5"/>
  <c r="D43" i="5"/>
  <c r="C43" i="5"/>
  <c r="K40" i="5"/>
  <c r="J40" i="5"/>
  <c r="I40" i="5"/>
  <c r="H40" i="5"/>
  <c r="G40" i="5"/>
  <c r="F40" i="5"/>
  <c r="E40" i="5"/>
  <c r="D40" i="5"/>
  <c r="C40" i="5"/>
  <c r="K38" i="5"/>
  <c r="J38" i="5"/>
  <c r="I38" i="5"/>
  <c r="H38" i="5"/>
  <c r="G38" i="5"/>
  <c r="F38" i="5"/>
  <c r="E38" i="5"/>
  <c r="D38" i="5"/>
  <c r="C38" i="5"/>
  <c r="K35" i="5"/>
  <c r="J35" i="5"/>
  <c r="I35" i="5"/>
  <c r="H35" i="5"/>
  <c r="G35" i="5"/>
  <c r="F35" i="5"/>
  <c r="E35" i="5"/>
  <c r="D35" i="5"/>
  <c r="C35" i="5"/>
  <c r="E11" i="5"/>
  <c r="E12" i="5" s="1"/>
  <c r="F113" i="4"/>
  <c r="F111" i="4" s="1"/>
  <c r="F127" i="4" s="1"/>
  <c r="E113" i="4"/>
  <c r="E111" i="4" s="1"/>
  <c r="D113" i="4"/>
  <c r="D111" i="4" s="1"/>
  <c r="C113" i="4"/>
  <c r="C111" i="4" s="1"/>
  <c r="C126" i="4" s="1"/>
  <c r="K111" i="4"/>
  <c r="K126" i="4" s="1"/>
  <c r="J111" i="4"/>
  <c r="J118" i="10" s="1"/>
  <c r="I111" i="4"/>
  <c r="I118" i="10" s="1"/>
  <c r="H111" i="4"/>
  <c r="H118" i="10" s="1"/>
  <c r="G111" i="4"/>
  <c r="G126" i="4" s="1"/>
  <c r="K101" i="4"/>
  <c r="J101" i="4"/>
  <c r="I101" i="4"/>
  <c r="H101" i="4"/>
  <c r="G101" i="4"/>
  <c r="F101" i="4"/>
  <c r="E101" i="4"/>
  <c r="D101" i="4"/>
  <c r="C101" i="4"/>
  <c r="K100" i="4"/>
  <c r="J100" i="4"/>
  <c r="I100" i="4"/>
  <c r="H100" i="4"/>
  <c r="G100" i="4"/>
  <c r="F100" i="4"/>
  <c r="E100" i="4"/>
  <c r="D100" i="4"/>
  <c r="C100" i="4"/>
  <c r="K97" i="4"/>
  <c r="I97" i="4"/>
  <c r="H97" i="4"/>
  <c r="G97" i="4"/>
  <c r="F97" i="4"/>
  <c r="E97" i="4"/>
  <c r="D97" i="4"/>
  <c r="C97" i="4"/>
  <c r="K75" i="4"/>
  <c r="J75" i="4"/>
  <c r="I75" i="4"/>
  <c r="H75" i="4"/>
  <c r="G75" i="4"/>
  <c r="F75" i="4"/>
  <c r="E75" i="4"/>
  <c r="D75" i="4"/>
  <c r="C75" i="4"/>
  <c r="K74" i="4"/>
  <c r="J74" i="4"/>
  <c r="I74" i="4"/>
  <c r="H74" i="4"/>
  <c r="G74" i="4"/>
  <c r="F74" i="4"/>
  <c r="E74" i="4"/>
  <c r="D74" i="4"/>
  <c r="C74" i="4"/>
  <c r="K32" i="4"/>
  <c r="K40" i="10" s="1"/>
  <c r="J32" i="4"/>
  <c r="J47" i="4" s="1"/>
  <c r="I32" i="4"/>
  <c r="I48" i="4" s="1"/>
  <c r="H32" i="4"/>
  <c r="H48" i="4" s="1"/>
  <c r="G32" i="4"/>
  <c r="G48" i="4" s="1"/>
  <c r="F32" i="4"/>
  <c r="F47" i="4" s="1"/>
  <c r="E32" i="4"/>
  <c r="E40" i="10" s="1"/>
  <c r="D32" i="4"/>
  <c r="C32" i="4"/>
  <c r="C21" i="4"/>
  <c r="K122" i="3"/>
  <c r="J122" i="3"/>
  <c r="I122" i="3"/>
  <c r="H122" i="3"/>
  <c r="G122" i="3"/>
  <c r="F122" i="3"/>
  <c r="E122" i="3"/>
  <c r="D122" i="3"/>
  <c r="C122" i="3"/>
  <c r="K121" i="3"/>
  <c r="J121" i="3"/>
  <c r="I121" i="3"/>
  <c r="H121" i="3"/>
  <c r="G121" i="3"/>
  <c r="F121" i="3"/>
  <c r="E121" i="3"/>
  <c r="D121" i="3"/>
  <c r="C121" i="3"/>
  <c r="J110" i="3"/>
  <c r="I110" i="3"/>
  <c r="H126" i="3"/>
  <c r="G110" i="3"/>
  <c r="F110" i="3"/>
  <c r="E110" i="3"/>
  <c r="E113" i="3" s="1"/>
  <c r="D110" i="3"/>
  <c r="C110" i="3"/>
  <c r="C125" i="3" s="1"/>
  <c r="K100" i="3"/>
  <c r="J100" i="3"/>
  <c r="I100" i="3"/>
  <c r="H100" i="3"/>
  <c r="G100" i="3"/>
  <c r="F100" i="3"/>
  <c r="E100" i="3"/>
  <c r="D100" i="3"/>
  <c r="C100" i="3"/>
  <c r="K99" i="3"/>
  <c r="J99" i="3"/>
  <c r="I99" i="3"/>
  <c r="H99" i="3"/>
  <c r="G99" i="3"/>
  <c r="F99" i="3"/>
  <c r="E99" i="3"/>
  <c r="D99" i="3"/>
  <c r="C99" i="3"/>
  <c r="J96" i="3"/>
  <c r="H96" i="3"/>
  <c r="G96" i="3"/>
  <c r="F96" i="3"/>
  <c r="E96" i="3"/>
  <c r="D96" i="3"/>
  <c r="C96" i="3"/>
  <c r="J95" i="3"/>
  <c r="H95" i="3"/>
  <c r="G95" i="3"/>
  <c r="F95" i="3"/>
  <c r="E95" i="3"/>
  <c r="D95" i="3"/>
  <c r="J89" i="3"/>
  <c r="H89" i="3"/>
  <c r="G89" i="3"/>
  <c r="F89" i="3"/>
  <c r="E89" i="3"/>
  <c r="D89" i="3"/>
  <c r="K89" i="3"/>
  <c r="I89" i="3"/>
  <c r="J87" i="3"/>
  <c r="H87" i="3"/>
  <c r="G87" i="3"/>
  <c r="F87" i="3"/>
  <c r="E87" i="3"/>
  <c r="D87" i="3"/>
  <c r="K87" i="3"/>
  <c r="I87" i="3"/>
  <c r="K74" i="3"/>
  <c r="J74" i="3"/>
  <c r="I74" i="3"/>
  <c r="G74" i="3"/>
  <c r="F74" i="3"/>
  <c r="E74" i="3"/>
  <c r="D74" i="3"/>
  <c r="C74" i="3"/>
  <c r="K73" i="3"/>
  <c r="J73" i="3"/>
  <c r="I73" i="3"/>
  <c r="G73" i="3"/>
  <c r="F73" i="3"/>
  <c r="E73" i="3"/>
  <c r="D73" i="3"/>
  <c r="C73" i="3"/>
  <c r="K70" i="3"/>
  <c r="J70" i="3"/>
  <c r="I70" i="3"/>
  <c r="G70" i="3"/>
  <c r="F70" i="3"/>
  <c r="E70" i="3"/>
  <c r="D70" i="3"/>
  <c r="C70" i="3"/>
  <c r="K69" i="3"/>
  <c r="J69" i="3"/>
  <c r="I69" i="3"/>
  <c r="G69" i="3"/>
  <c r="F69" i="3"/>
  <c r="E69" i="3"/>
  <c r="D69" i="3"/>
  <c r="C69" i="3"/>
  <c r="K63" i="3"/>
  <c r="J63" i="3"/>
  <c r="I63" i="3"/>
  <c r="H63" i="3"/>
  <c r="G63" i="3"/>
  <c r="F63" i="3"/>
  <c r="E63" i="3"/>
  <c r="D63" i="3"/>
  <c r="C63" i="3"/>
  <c r="K61" i="3"/>
  <c r="J61" i="3"/>
  <c r="I61" i="3"/>
  <c r="H61" i="3"/>
  <c r="G61" i="3"/>
  <c r="F61" i="3"/>
  <c r="E61" i="3"/>
  <c r="D61" i="3"/>
  <c r="C61" i="3"/>
  <c r="K48" i="3"/>
  <c r="J48" i="3"/>
  <c r="I48" i="3"/>
  <c r="H48" i="3"/>
  <c r="G48" i="3"/>
  <c r="C48" i="3"/>
  <c r="K47" i="3"/>
  <c r="J47" i="3"/>
  <c r="I47" i="3"/>
  <c r="H47" i="3"/>
  <c r="G47" i="3"/>
  <c r="C47" i="3"/>
  <c r="K44" i="3"/>
  <c r="J44" i="3"/>
  <c r="I44" i="3"/>
  <c r="H44" i="3"/>
  <c r="G44" i="3"/>
  <c r="F44" i="3"/>
  <c r="E44" i="3"/>
  <c r="D44" i="3"/>
  <c r="C44" i="3"/>
  <c r="K43" i="3"/>
  <c r="J43" i="3"/>
  <c r="I43" i="3"/>
  <c r="H43" i="3"/>
  <c r="G43" i="3"/>
  <c r="F43" i="3"/>
  <c r="E43" i="3"/>
  <c r="D43" i="3"/>
  <c r="C43" i="3"/>
  <c r="K37" i="3"/>
  <c r="J37" i="3"/>
  <c r="I37" i="3"/>
  <c r="H37" i="3"/>
  <c r="G37" i="3"/>
  <c r="C37" i="3"/>
  <c r="K35" i="3"/>
  <c r="J35" i="3"/>
  <c r="I35" i="3"/>
  <c r="H35" i="3"/>
  <c r="G35" i="3"/>
  <c r="C35" i="3"/>
  <c r="F32" i="3"/>
  <c r="F47" i="3" s="1"/>
  <c r="E32" i="3"/>
  <c r="E48" i="3" s="1"/>
  <c r="D32" i="3"/>
  <c r="D48" i="3" s="1"/>
  <c r="C21" i="3"/>
  <c r="C20" i="3"/>
  <c r="C17" i="3"/>
  <c r="C16" i="3"/>
  <c r="U78" i="11" l="1"/>
  <c r="U46" i="11"/>
  <c r="M103" i="11"/>
  <c r="O103" i="11"/>
  <c r="I71" i="11"/>
  <c r="P40" i="11"/>
  <c r="I72" i="11"/>
  <c r="AB135" i="11"/>
  <c r="C106" i="11"/>
  <c r="R40" i="11"/>
  <c r="I73" i="11"/>
  <c r="P136" i="11"/>
  <c r="C110" i="11"/>
  <c r="U110" i="11"/>
  <c r="G135" i="11"/>
  <c r="P135" i="11"/>
  <c r="AB105" i="11"/>
  <c r="Z96" i="11"/>
  <c r="U79" i="11"/>
  <c r="C103" i="11"/>
  <c r="AB106" i="11"/>
  <c r="G138" i="11"/>
  <c r="C107" i="11"/>
  <c r="F140" i="11"/>
  <c r="G140" i="11"/>
  <c r="P141" i="11"/>
  <c r="AB113" i="11"/>
  <c r="P142" i="11"/>
  <c r="I41" i="11"/>
  <c r="AB107" i="11"/>
  <c r="E128" i="11"/>
  <c r="E104" i="11" s="1"/>
  <c r="I145" i="11"/>
  <c r="AB103" i="11"/>
  <c r="V145" i="11"/>
  <c r="I42" i="11"/>
  <c r="C104" i="11"/>
  <c r="X145" i="11"/>
  <c r="J42" i="11"/>
  <c r="G9" i="11"/>
  <c r="G11" i="11"/>
  <c r="G13" i="11"/>
  <c r="Y72" i="11"/>
  <c r="J103" i="11"/>
  <c r="G8" i="11"/>
  <c r="I106" i="11"/>
  <c r="H128" i="11"/>
  <c r="H113" i="11" s="1"/>
  <c r="D45" i="11"/>
  <c r="I75" i="11"/>
  <c r="M106" i="11"/>
  <c r="I45" i="11"/>
  <c r="L75" i="11"/>
  <c r="U140" i="11"/>
  <c r="Z11" i="11"/>
  <c r="I46" i="11"/>
  <c r="I76" i="11"/>
  <c r="G141" i="11"/>
  <c r="H10" i="11"/>
  <c r="I77" i="11"/>
  <c r="T128" i="11"/>
  <c r="T110" i="11" s="1"/>
  <c r="I10" i="11"/>
  <c r="I47" i="11"/>
  <c r="Z8" i="11"/>
  <c r="K12" i="11"/>
  <c r="I39" i="11"/>
  <c r="J47" i="11"/>
  <c r="M104" i="11"/>
  <c r="F143" i="11"/>
  <c r="M47" i="11"/>
  <c r="M79" i="11"/>
  <c r="J107" i="11"/>
  <c r="F135" i="11"/>
  <c r="G143" i="11"/>
  <c r="AB47" i="11"/>
  <c r="M75" i="11"/>
  <c r="Y79" i="11"/>
  <c r="I138" i="11"/>
  <c r="Z9" i="11"/>
  <c r="P43" i="11"/>
  <c r="G49" i="11"/>
  <c r="U71" i="11"/>
  <c r="U73" i="11"/>
  <c r="U75" i="11"/>
  <c r="Y77" i="11"/>
  <c r="U138" i="11"/>
  <c r="M77" i="11"/>
  <c r="I135" i="11"/>
  <c r="I141" i="11"/>
  <c r="S12" i="11"/>
  <c r="R43" i="11"/>
  <c r="P46" i="11"/>
  <c r="Y71" i="11"/>
  <c r="Y73" i="11"/>
  <c r="Y80" i="11" s="1"/>
  <c r="Y75" i="11"/>
  <c r="I78" i="11"/>
  <c r="I81" i="11"/>
  <c r="I139" i="11"/>
  <c r="I142" i="11"/>
  <c r="D39" i="11"/>
  <c r="AB41" i="11"/>
  <c r="R49" i="11"/>
  <c r="M81" i="11"/>
  <c r="P47" i="11"/>
  <c r="AB40" i="11"/>
  <c r="R45" i="11"/>
  <c r="M71" i="11"/>
  <c r="P13" i="11"/>
  <c r="Q7" i="11"/>
  <c r="Z10" i="11"/>
  <c r="D42" i="11"/>
  <c r="R44" i="11"/>
  <c r="M72" i="11"/>
  <c r="U74" i="11"/>
  <c r="U76" i="11"/>
  <c r="Y78" i="11"/>
  <c r="U81" i="11"/>
  <c r="D107" i="11"/>
  <c r="I137" i="11"/>
  <c r="K128" i="11"/>
  <c r="K110" i="11" s="1"/>
  <c r="M73" i="11"/>
  <c r="AB44" i="11"/>
  <c r="Y74" i="11"/>
  <c r="Y76" i="11"/>
  <c r="Y81" i="11"/>
  <c r="R103" i="11"/>
  <c r="I140" i="11"/>
  <c r="C92" i="9"/>
  <c r="P39" i="11"/>
  <c r="D41" i="11"/>
  <c r="Y43" i="11"/>
  <c r="D49" i="11"/>
  <c r="U109" i="11"/>
  <c r="N8" i="11"/>
  <c r="AB39" i="11"/>
  <c r="P42" i="11"/>
  <c r="AB43" i="11"/>
  <c r="P45" i="11"/>
  <c r="AB46" i="11"/>
  <c r="F77" i="11"/>
  <c r="F79" i="11"/>
  <c r="U111" i="11"/>
  <c r="Y142" i="11"/>
  <c r="U105" i="11"/>
  <c r="D40" i="11"/>
  <c r="M41" i="11"/>
  <c r="D44" i="11"/>
  <c r="D47" i="11"/>
  <c r="U104" i="11"/>
  <c r="M46" i="11"/>
  <c r="U106" i="11"/>
  <c r="E85" i="6"/>
  <c r="C100" i="9"/>
  <c r="E7" i="11"/>
  <c r="P41" i="11"/>
  <c r="AB42" i="11"/>
  <c r="AB45" i="11"/>
  <c r="Z79" i="11"/>
  <c r="U103" i="11"/>
  <c r="U107" i="11"/>
  <c r="N13" i="11"/>
  <c r="M40" i="11"/>
  <c r="D43" i="11"/>
  <c r="F72" i="11"/>
  <c r="U108" i="11"/>
  <c r="C7" i="11"/>
  <c r="K8" i="11"/>
  <c r="P104" i="11"/>
  <c r="P106" i="11"/>
  <c r="P113" i="11"/>
  <c r="K13" i="11"/>
  <c r="K7" i="11"/>
  <c r="C9" i="11"/>
  <c r="E17" i="11"/>
  <c r="M45" i="11"/>
  <c r="R107" i="11"/>
  <c r="P108" i="11"/>
  <c r="K14" i="11"/>
  <c r="K17" i="11"/>
  <c r="M39" i="11"/>
  <c r="M44" i="11"/>
  <c r="P111" i="11"/>
  <c r="K9" i="11"/>
  <c r="K10" i="11"/>
  <c r="M43" i="11"/>
  <c r="S76" i="11"/>
  <c r="F78" i="11"/>
  <c r="R79" i="11"/>
  <c r="D136" i="11"/>
  <c r="P143" i="11"/>
  <c r="P107" i="11"/>
  <c r="L9" i="11"/>
  <c r="K11" i="11"/>
  <c r="M42" i="11"/>
  <c r="Y45" i="11"/>
  <c r="S71" i="11"/>
  <c r="F75" i="11"/>
  <c r="S79" i="11"/>
  <c r="D106" i="11"/>
  <c r="P110" i="11"/>
  <c r="O42" i="11"/>
  <c r="Q96" i="11"/>
  <c r="Q78" i="11" s="1"/>
  <c r="P103" i="11"/>
  <c r="P105" i="11"/>
  <c r="D135" i="11"/>
  <c r="P139" i="11"/>
  <c r="P145" i="11"/>
  <c r="M9" i="11"/>
  <c r="M12" i="11"/>
  <c r="E15" i="11"/>
  <c r="J108" i="11"/>
  <c r="V142" i="11"/>
  <c r="M7" i="11"/>
  <c r="M8" i="11"/>
  <c r="M10" i="11"/>
  <c r="E11" i="11"/>
  <c r="M17" i="11"/>
  <c r="C40" i="10"/>
  <c r="C47" i="4"/>
  <c r="M15" i="11"/>
  <c r="Z14" i="11"/>
  <c r="Z12" i="11"/>
  <c r="L44" i="11"/>
  <c r="V73" i="11"/>
  <c r="J141" i="11"/>
  <c r="E10" i="11"/>
  <c r="L42" i="11"/>
  <c r="J104" i="11"/>
  <c r="J105" i="11"/>
  <c r="J113" i="11"/>
  <c r="E9" i="11"/>
  <c r="M11" i="11"/>
  <c r="E14" i="11"/>
  <c r="V75" i="11"/>
  <c r="Y141" i="11"/>
  <c r="C17" i="11"/>
  <c r="C8" i="11"/>
  <c r="J106" i="11"/>
  <c r="J111" i="11"/>
  <c r="E8" i="11"/>
  <c r="E12" i="11"/>
  <c r="M14" i="11"/>
  <c r="V77" i="11"/>
  <c r="J109" i="11"/>
  <c r="M140" i="11"/>
  <c r="K48" i="4"/>
  <c r="I125" i="3"/>
  <c r="I113" i="3"/>
  <c r="I115" i="3"/>
  <c r="S15" i="11"/>
  <c r="G39" i="11"/>
  <c r="G43" i="11"/>
  <c r="J126" i="3"/>
  <c r="J113" i="3"/>
  <c r="J115" i="3"/>
  <c r="I11" i="11"/>
  <c r="V78" i="11"/>
  <c r="V79" i="11"/>
  <c r="S104" i="11"/>
  <c r="S105" i="11"/>
  <c r="S109" i="11"/>
  <c r="V138" i="11"/>
  <c r="G44" i="11"/>
  <c r="K126" i="3"/>
  <c r="K113" i="3"/>
  <c r="K115" i="3"/>
  <c r="N7" i="11"/>
  <c r="Q12" i="11"/>
  <c r="Q13" i="11"/>
  <c r="S14" i="11"/>
  <c r="T31" i="11"/>
  <c r="T15" i="11" s="1"/>
  <c r="C45" i="11"/>
  <c r="S107" i="11"/>
  <c r="S110" i="11"/>
  <c r="V135" i="11"/>
  <c r="AA138" i="11"/>
  <c r="V141" i="11"/>
  <c r="W128" i="11"/>
  <c r="W104" i="11" s="1"/>
  <c r="I75" i="9"/>
  <c r="C118" i="9"/>
  <c r="Q11" i="11"/>
  <c r="S13" i="11"/>
  <c r="I15" i="11"/>
  <c r="R32" i="11"/>
  <c r="R17" i="11" s="1"/>
  <c r="O44" i="11"/>
  <c r="G45" i="11"/>
  <c r="G47" i="11"/>
  <c r="V137" i="11"/>
  <c r="J139" i="11"/>
  <c r="V140" i="11"/>
  <c r="D126" i="3"/>
  <c r="D113" i="3"/>
  <c r="F125" i="3"/>
  <c r="F113" i="3"/>
  <c r="F115" i="3"/>
  <c r="C40" i="11"/>
  <c r="C41" i="11"/>
  <c r="G46" i="11"/>
  <c r="V72" i="11"/>
  <c r="V76" i="11"/>
  <c r="S103" i="11"/>
  <c r="AA140" i="11"/>
  <c r="V143" i="11"/>
  <c r="G126" i="3"/>
  <c r="G115" i="3"/>
  <c r="G113" i="3"/>
  <c r="Q10" i="11"/>
  <c r="I13" i="11"/>
  <c r="F14" i="11"/>
  <c r="Z15" i="11"/>
  <c r="G42" i="11"/>
  <c r="O75" i="11"/>
  <c r="L104" i="11"/>
  <c r="AA105" i="11"/>
  <c r="S106" i="11"/>
  <c r="V136" i="11"/>
  <c r="K87" i="5"/>
  <c r="I7" i="11"/>
  <c r="F9" i="11"/>
  <c r="F17" i="11"/>
  <c r="G40" i="11"/>
  <c r="S44" i="11"/>
  <c r="O45" i="11"/>
  <c r="V71" i="11"/>
  <c r="V74" i="11"/>
  <c r="W96" i="11"/>
  <c r="W81" i="11" s="1"/>
  <c r="L107" i="11"/>
  <c r="AA136" i="11"/>
  <c r="F11" i="11"/>
  <c r="L41" i="11"/>
  <c r="X43" i="11"/>
  <c r="L47" i="11"/>
  <c r="G72" i="11"/>
  <c r="X73" i="11"/>
  <c r="G77" i="11"/>
  <c r="G81" i="11"/>
  <c r="R105" i="11"/>
  <c r="O106" i="11"/>
  <c r="R111" i="11"/>
  <c r="F139" i="11"/>
  <c r="X142" i="11"/>
  <c r="F115" i="6"/>
  <c r="J102" i="9"/>
  <c r="K118" i="10"/>
  <c r="N10" i="11"/>
  <c r="C12" i="11"/>
  <c r="C39" i="11"/>
  <c r="O41" i="11"/>
  <c r="L46" i="11"/>
  <c r="O47" i="11"/>
  <c r="L72" i="11"/>
  <c r="F74" i="11"/>
  <c r="L77" i="11"/>
  <c r="C79" i="11"/>
  <c r="L81" i="11"/>
  <c r="R104" i="11"/>
  <c r="R106" i="11"/>
  <c r="AA108" i="11"/>
  <c r="M110" i="11"/>
  <c r="Y135" i="11"/>
  <c r="AA142" i="11"/>
  <c r="O10" i="11"/>
  <c r="L40" i="11"/>
  <c r="C44" i="11"/>
  <c r="C71" i="11"/>
  <c r="G74" i="11"/>
  <c r="C109" i="11"/>
  <c r="AA135" i="11"/>
  <c r="X137" i="11"/>
  <c r="X135" i="11"/>
  <c r="L11" i="11"/>
  <c r="F12" i="11"/>
  <c r="C13" i="11"/>
  <c r="Z13" i="11"/>
  <c r="N17" i="11"/>
  <c r="R41" i="11"/>
  <c r="S42" i="11"/>
  <c r="O46" i="11"/>
  <c r="R47" i="11"/>
  <c r="F71" i="11"/>
  <c r="R72" i="11"/>
  <c r="O77" i="11"/>
  <c r="G79" i="11"/>
  <c r="R110" i="11"/>
  <c r="AA137" i="11"/>
  <c r="S139" i="11"/>
  <c r="R141" i="11"/>
  <c r="G49" i="9"/>
  <c r="F7" i="11"/>
  <c r="R10" i="11"/>
  <c r="F13" i="11"/>
  <c r="O40" i="11"/>
  <c r="S41" i="11"/>
  <c r="X42" i="11"/>
  <c r="L45" i="11"/>
  <c r="X47" i="11"/>
  <c r="G71" i="11"/>
  <c r="L74" i="11"/>
  <c r="C76" i="11"/>
  <c r="C138" i="11"/>
  <c r="N11" i="11"/>
  <c r="L39" i="11"/>
  <c r="Y42" i="11"/>
  <c r="R46" i="11"/>
  <c r="Y47" i="11"/>
  <c r="M74" i="11"/>
  <c r="F76" i="11"/>
  <c r="L79" i="11"/>
  <c r="M109" i="11"/>
  <c r="AA111" i="11"/>
  <c r="F136" i="11"/>
  <c r="F138" i="11"/>
  <c r="X139" i="11"/>
  <c r="X141" i="11"/>
  <c r="X41" i="11"/>
  <c r="S46" i="11"/>
  <c r="G76" i="11"/>
  <c r="S143" i="11"/>
  <c r="F8" i="11"/>
  <c r="N12" i="11"/>
  <c r="C15" i="11"/>
  <c r="O39" i="11"/>
  <c r="S40" i="11"/>
  <c r="Y41" i="11"/>
  <c r="L71" i="11"/>
  <c r="O79" i="11"/>
  <c r="Y112" i="11"/>
  <c r="AA104" i="11"/>
  <c r="C108" i="11"/>
  <c r="R109" i="11"/>
  <c r="M113" i="11"/>
  <c r="S136" i="11"/>
  <c r="AA141" i="11"/>
  <c r="X40" i="11"/>
  <c r="X46" i="11"/>
  <c r="G73" i="11"/>
  <c r="L76" i="11"/>
  <c r="H96" i="11"/>
  <c r="H74" i="11" s="1"/>
  <c r="O113" i="11"/>
  <c r="X143" i="11"/>
  <c r="Z160" i="11"/>
  <c r="Z137" i="11" s="1"/>
  <c r="C37" i="10"/>
  <c r="C10" i="11"/>
  <c r="O13" i="11"/>
  <c r="Y40" i="11"/>
  <c r="C42" i="11"/>
  <c r="S45" i="11"/>
  <c r="Y46" i="11"/>
  <c r="X74" i="11"/>
  <c r="M76" i="11"/>
  <c r="G78" i="11"/>
  <c r="AA103" i="11"/>
  <c r="C105" i="11"/>
  <c r="AA106" i="11"/>
  <c r="AA110" i="11"/>
  <c r="X136" i="11"/>
  <c r="S138" i="11"/>
  <c r="Y143" i="11"/>
  <c r="O9" i="11"/>
  <c r="L43" i="11"/>
  <c r="X45" i="11"/>
  <c r="L73" i="11"/>
  <c r="G105" i="11"/>
  <c r="G106" i="11"/>
  <c r="M108" i="11"/>
  <c r="R113" i="11"/>
  <c r="Y136" i="11"/>
  <c r="F145" i="11"/>
  <c r="X39" i="11"/>
  <c r="N14" i="11"/>
  <c r="Y39" i="11"/>
  <c r="X44" i="11"/>
  <c r="X71" i="11"/>
  <c r="M105" i="11"/>
  <c r="F137" i="11"/>
  <c r="X138" i="11"/>
  <c r="C89" i="6"/>
  <c r="N9" i="11"/>
  <c r="C11" i="11"/>
  <c r="Y44" i="11"/>
  <c r="O105" i="11"/>
  <c r="AA109" i="11"/>
  <c r="Y138" i="11"/>
  <c r="Y140" i="11"/>
  <c r="S142" i="11"/>
  <c r="J48" i="4"/>
  <c r="K90" i="5"/>
  <c r="C49" i="9"/>
  <c r="E75" i="9"/>
  <c r="J40" i="10"/>
  <c r="J89" i="10"/>
  <c r="P8" i="11"/>
  <c r="H14" i="11"/>
  <c r="P15" i="11"/>
  <c r="X112" i="11"/>
  <c r="I104" i="11"/>
  <c r="I105" i="11"/>
  <c r="C140" i="11"/>
  <c r="O143" i="11"/>
  <c r="E60" i="10"/>
  <c r="F48" i="3"/>
  <c r="H126" i="4"/>
  <c r="K49" i="9"/>
  <c r="K128" i="9"/>
  <c r="G37" i="10"/>
  <c r="I60" i="10"/>
  <c r="J86" i="10"/>
  <c r="P7" i="11"/>
  <c r="AC17" i="11"/>
  <c r="V40" i="11"/>
  <c r="J41" i="11"/>
  <c r="O72" i="11"/>
  <c r="D75" i="11"/>
  <c r="O81" i="11"/>
  <c r="N96" i="11"/>
  <c r="N72" i="11" s="1"/>
  <c r="AA75" i="11"/>
  <c r="AA73" i="11"/>
  <c r="AA74" i="11"/>
  <c r="AA71" i="11"/>
  <c r="AA72" i="11"/>
  <c r="AA79" i="11"/>
  <c r="AA77" i="11"/>
  <c r="AA76" i="11"/>
  <c r="AA78" i="11"/>
  <c r="I108" i="11"/>
  <c r="O137" i="11"/>
  <c r="O142" i="11"/>
  <c r="C143" i="11"/>
  <c r="F37" i="3"/>
  <c r="I126" i="4"/>
  <c r="D128" i="9"/>
  <c r="D63" i="10"/>
  <c r="K86" i="10"/>
  <c r="H112" i="10"/>
  <c r="Y16" i="11"/>
  <c r="H8" i="11"/>
  <c r="H15" i="11"/>
  <c r="AC32" i="11"/>
  <c r="AC16" i="11" s="1"/>
  <c r="T26" i="11"/>
  <c r="T10" i="11" s="1"/>
  <c r="V39" i="11"/>
  <c r="J40" i="11"/>
  <c r="V44" i="11"/>
  <c r="V45" i="11"/>
  <c r="J46" i="11"/>
  <c r="D77" i="11"/>
  <c r="D79" i="11"/>
  <c r="AB81" i="11"/>
  <c r="AB76" i="11"/>
  <c r="AB74" i="11"/>
  <c r="AB73" i="11"/>
  <c r="AB79" i="11"/>
  <c r="AB78" i="11"/>
  <c r="AB75" i="11"/>
  <c r="AB72" i="11"/>
  <c r="AB71" i="11"/>
  <c r="AB77" i="11"/>
  <c r="Z112" i="11"/>
  <c r="I107" i="11"/>
  <c r="M111" i="11"/>
  <c r="AA113" i="11"/>
  <c r="O141" i="11"/>
  <c r="D143" i="11"/>
  <c r="S145" i="11"/>
  <c r="D35" i="3"/>
  <c r="G47" i="4"/>
  <c r="C127" i="4"/>
  <c r="H49" i="9"/>
  <c r="G102" i="9"/>
  <c r="H128" i="9"/>
  <c r="I112" i="10"/>
  <c r="H13" i="11"/>
  <c r="H17" i="11"/>
  <c r="J39" i="11"/>
  <c r="J44" i="11"/>
  <c r="J45" i="11"/>
  <c r="D72" i="11"/>
  <c r="O74" i="11"/>
  <c r="O78" i="11"/>
  <c r="D81" i="11"/>
  <c r="O135" i="11"/>
  <c r="C136" i="11"/>
  <c r="K47" i="4"/>
  <c r="G127" i="4"/>
  <c r="I49" i="9"/>
  <c r="K102" i="9"/>
  <c r="K37" i="10"/>
  <c r="H63" i="10"/>
  <c r="K112" i="10"/>
  <c r="P14" i="11"/>
  <c r="J49" i="11"/>
  <c r="D74" i="11"/>
  <c r="O140" i="11"/>
  <c r="C141" i="11"/>
  <c r="C142" i="11"/>
  <c r="C48" i="4"/>
  <c r="H127" i="4"/>
  <c r="J49" i="9"/>
  <c r="C127" i="9"/>
  <c r="C128" i="9" s="1"/>
  <c r="H34" i="10"/>
  <c r="F40" i="10"/>
  <c r="D115" i="10"/>
  <c r="O71" i="11"/>
  <c r="O73" i="11"/>
  <c r="O76" i="11"/>
  <c r="D78" i="11"/>
  <c r="C111" i="11"/>
  <c r="S135" i="11"/>
  <c r="C137" i="11"/>
  <c r="O138" i="11"/>
  <c r="C139" i="11"/>
  <c r="Y139" i="11"/>
  <c r="P140" i="11"/>
  <c r="S141" i="11"/>
  <c r="F142" i="11"/>
  <c r="I143" i="11"/>
  <c r="AA143" i="11"/>
  <c r="Y145" i="11"/>
  <c r="I95" i="3"/>
  <c r="I96" i="3"/>
  <c r="D125" i="3"/>
  <c r="F48" i="4"/>
  <c r="K127" i="4"/>
  <c r="I34" i="10"/>
  <c r="G40" i="10"/>
  <c r="I89" i="10"/>
  <c r="J115" i="10"/>
  <c r="D71" i="11"/>
  <c r="D73" i="11"/>
  <c r="I103" i="11"/>
  <c r="S108" i="11"/>
  <c r="I113" i="11"/>
  <c r="C135" i="11"/>
  <c r="AA139" i="11"/>
  <c r="G142" i="11"/>
  <c r="T8" i="11"/>
  <c r="N160" i="11"/>
  <c r="N135" i="11" s="1"/>
  <c r="E160" i="11"/>
  <c r="E138" i="11" s="1"/>
  <c r="F63" i="10"/>
  <c r="F60" i="10"/>
  <c r="F75" i="9"/>
  <c r="F118" i="9"/>
  <c r="AA49" i="11"/>
  <c r="AA47" i="11"/>
  <c r="AA43" i="11"/>
  <c r="AA46" i="11"/>
  <c r="AA40" i="11"/>
  <c r="AA42" i="11"/>
  <c r="AA45" i="11"/>
  <c r="AA39" i="11"/>
  <c r="AA41" i="11"/>
  <c r="D34" i="10"/>
  <c r="D37" i="10"/>
  <c r="D49" i="9"/>
  <c r="D40" i="10"/>
  <c r="D48" i="4"/>
  <c r="D47" i="4"/>
  <c r="E115" i="3"/>
  <c r="E126" i="3"/>
  <c r="E125" i="3"/>
  <c r="C85" i="6"/>
  <c r="C101" i="9"/>
  <c r="C87" i="9"/>
  <c r="F42" i="11"/>
  <c r="F39" i="11"/>
  <c r="F41" i="11"/>
  <c r="F45" i="11"/>
  <c r="F44" i="11"/>
  <c r="F46" i="11"/>
  <c r="F47" i="11"/>
  <c r="F40" i="11"/>
  <c r="F49" i="11"/>
  <c r="F43" i="11"/>
  <c r="J17" i="11"/>
  <c r="J14" i="11"/>
  <c r="J11" i="11"/>
  <c r="J13" i="11"/>
  <c r="J7" i="11"/>
  <c r="J8" i="11"/>
  <c r="J10" i="11"/>
  <c r="J12" i="11"/>
  <c r="J9" i="11"/>
  <c r="E112" i="10"/>
  <c r="E115" i="10"/>
  <c r="E128" i="9"/>
  <c r="Q64" i="11"/>
  <c r="Q47" i="11" s="1"/>
  <c r="K64" i="11"/>
  <c r="K41" i="11" s="1"/>
  <c r="AC64" i="11"/>
  <c r="AC42" i="11" s="1"/>
  <c r="E118" i="10"/>
  <c r="E127" i="4"/>
  <c r="E126" i="4"/>
  <c r="D126" i="4"/>
  <c r="D127" i="4"/>
  <c r="D118" i="10"/>
  <c r="H89" i="10"/>
  <c r="H86" i="10"/>
  <c r="H102" i="9"/>
  <c r="J15" i="11"/>
  <c r="AC160" i="11"/>
  <c r="AC138" i="11" s="1"/>
  <c r="T160" i="11"/>
  <c r="T138" i="11" s="1"/>
  <c r="T64" i="11"/>
  <c r="T45" i="11" s="1"/>
  <c r="Q160" i="11"/>
  <c r="Q142" i="11" s="1"/>
  <c r="R138" i="11"/>
  <c r="R143" i="11"/>
  <c r="R135" i="11"/>
  <c r="R140" i="11"/>
  <c r="R145" i="11"/>
  <c r="R137" i="11"/>
  <c r="R136" i="11"/>
  <c r="R139" i="11"/>
  <c r="E35" i="3"/>
  <c r="D37" i="3"/>
  <c r="K95" i="3"/>
  <c r="C115" i="3"/>
  <c r="C126" i="3"/>
  <c r="E47" i="4"/>
  <c r="J126" i="4"/>
  <c r="I127" i="4"/>
  <c r="F87" i="5"/>
  <c r="K92" i="5"/>
  <c r="C115" i="6"/>
  <c r="E49" i="9"/>
  <c r="G75" i="9"/>
  <c r="I102" i="9"/>
  <c r="F128" i="9"/>
  <c r="H40" i="10"/>
  <c r="G60" i="10"/>
  <c r="C118" i="10"/>
  <c r="D8" i="11"/>
  <c r="D13" i="11"/>
  <c r="D15" i="11"/>
  <c r="D7" i="11"/>
  <c r="L8" i="11"/>
  <c r="L13" i="11"/>
  <c r="L15" i="11"/>
  <c r="L7" i="11"/>
  <c r="W64" i="11"/>
  <c r="W45" i="11" s="1"/>
  <c r="Z76" i="11"/>
  <c r="Z81" i="11"/>
  <c r="Z75" i="11"/>
  <c r="Z74" i="11"/>
  <c r="Z72" i="11"/>
  <c r="Z71" i="11"/>
  <c r="F113" i="11"/>
  <c r="F105" i="11"/>
  <c r="F110" i="11"/>
  <c r="F107" i="11"/>
  <c r="F104" i="11"/>
  <c r="F111" i="11"/>
  <c r="F103" i="11"/>
  <c r="F106" i="11"/>
  <c r="AB140" i="11"/>
  <c r="AB145" i="11"/>
  <c r="AB137" i="11"/>
  <c r="AB142" i="11"/>
  <c r="AB139" i="11"/>
  <c r="AB138" i="11"/>
  <c r="F35" i="3"/>
  <c r="E37" i="3"/>
  <c r="K96" i="3"/>
  <c r="D115" i="3"/>
  <c r="E48" i="4"/>
  <c r="J127" i="4"/>
  <c r="F49" i="9"/>
  <c r="H75" i="9"/>
  <c r="G128" i="9"/>
  <c r="J37" i="10"/>
  <c r="I40" i="10"/>
  <c r="L12" i="11"/>
  <c r="U41" i="11"/>
  <c r="Z77" i="11"/>
  <c r="P78" i="11"/>
  <c r="P77" i="11"/>
  <c r="P76" i="11"/>
  <c r="P81" i="11"/>
  <c r="P75" i="11"/>
  <c r="P72" i="11"/>
  <c r="P74" i="11"/>
  <c r="P71" i="11"/>
  <c r="P79" i="11"/>
  <c r="AA81" i="11"/>
  <c r="AC96" i="11"/>
  <c r="AC78" i="11" s="1"/>
  <c r="N128" i="11"/>
  <c r="N107" i="11" s="1"/>
  <c r="G110" i="11"/>
  <c r="G107" i="11"/>
  <c r="G104" i="11"/>
  <c r="G109" i="11"/>
  <c r="G108" i="11"/>
  <c r="G113" i="11"/>
  <c r="G103" i="11"/>
  <c r="AB143" i="11"/>
  <c r="F90" i="5"/>
  <c r="F118" i="10"/>
  <c r="T113" i="11"/>
  <c r="T105" i="11"/>
  <c r="D47" i="3"/>
  <c r="H47" i="4"/>
  <c r="F92" i="5"/>
  <c r="J75" i="9"/>
  <c r="I128" i="9"/>
  <c r="E34" i="10"/>
  <c r="J60" i="10"/>
  <c r="G86" i="10"/>
  <c r="G118" i="10"/>
  <c r="D10" i="11"/>
  <c r="L10" i="11"/>
  <c r="D12" i="11"/>
  <c r="G15" i="11"/>
  <c r="G7" i="11"/>
  <c r="G12" i="11"/>
  <c r="G17" i="11"/>
  <c r="G14" i="11"/>
  <c r="O15" i="11"/>
  <c r="O7" i="11"/>
  <c r="O12" i="11"/>
  <c r="O14" i="11"/>
  <c r="U40" i="11"/>
  <c r="U43" i="11"/>
  <c r="U47" i="11"/>
  <c r="AB136" i="11"/>
  <c r="W160" i="11"/>
  <c r="W137" i="11" s="1"/>
  <c r="N140" i="11"/>
  <c r="L140" i="11"/>
  <c r="L145" i="11"/>
  <c r="L137" i="11"/>
  <c r="L142" i="11"/>
  <c r="L139" i="11"/>
  <c r="L138" i="11"/>
  <c r="L136" i="11"/>
  <c r="L141" i="11"/>
  <c r="L135" i="11"/>
  <c r="Q128" i="11"/>
  <c r="Q103" i="11" s="1"/>
  <c r="E47" i="3"/>
  <c r="I47" i="4"/>
  <c r="F126" i="4"/>
  <c r="C75" i="9"/>
  <c r="K75" i="9"/>
  <c r="C113" i="9"/>
  <c r="J128" i="9"/>
  <c r="F34" i="10"/>
  <c r="C60" i="10"/>
  <c r="K60" i="10"/>
  <c r="G115" i="10"/>
  <c r="D9" i="11"/>
  <c r="D11" i="11"/>
  <c r="R15" i="11"/>
  <c r="S11" i="11"/>
  <c r="S8" i="11"/>
  <c r="S10" i="11"/>
  <c r="H12" i="11"/>
  <c r="H9" i="11"/>
  <c r="H11" i="11"/>
  <c r="P12" i="11"/>
  <c r="P9" i="11"/>
  <c r="P11" i="11"/>
  <c r="W78" i="11"/>
  <c r="W77" i="11"/>
  <c r="V113" i="11"/>
  <c r="V105" i="11"/>
  <c r="V110" i="11"/>
  <c r="V107" i="11"/>
  <c r="V104" i="11"/>
  <c r="V111" i="11"/>
  <c r="V103" i="11"/>
  <c r="V109" i="11"/>
  <c r="V108" i="11"/>
  <c r="U49" i="11"/>
  <c r="U45" i="11"/>
  <c r="U42" i="11"/>
  <c r="U44" i="11"/>
  <c r="R76" i="11"/>
  <c r="R81" i="11"/>
  <c r="R75" i="11"/>
  <c r="R74" i="11"/>
  <c r="T96" i="11"/>
  <c r="T72" i="11" s="1"/>
  <c r="R73" i="11"/>
  <c r="R78" i="11"/>
  <c r="C113" i="3"/>
  <c r="D75" i="9"/>
  <c r="F112" i="10"/>
  <c r="O11" i="11"/>
  <c r="D14" i="11"/>
  <c r="L17" i="11"/>
  <c r="I9" i="11"/>
  <c r="I17" i="11"/>
  <c r="I14" i="11"/>
  <c r="I8" i="11"/>
  <c r="Q9" i="11"/>
  <c r="Q14" i="11"/>
  <c r="Q8" i="11"/>
  <c r="E64" i="11"/>
  <c r="E43" i="11" s="1"/>
  <c r="N64" i="11"/>
  <c r="R77" i="11"/>
  <c r="J76" i="11"/>
  <c r="J81" i="11"/>
  <c r="J75" i="11"/>
  <c r="J74" i="11"/>
  <c r="J73" i="11"/>
  <c r="J78" i="11"/>
  <c r="J79" i="11"/>
  <c r="J77" i="11"/>
  <c r="J72" i="11"/>
  <c r="F108" i="11"/>
  <c r="Z64" i="11"/>
  <c r="Z44" i="11" s="1"/>
  <c r="S49" i="11"/>
  <c r="S47" i="11"/>
  <c r="W71" i="11"/>
  <c r="Z78" i="11"/>
  <c r="S81" i="11"/>
  <c r="S75" i="11"/>
  <c r="S74" i="11"/>
  <c r="S73" i="11"/>
  <c r="S72" i="11"/>
  <c r="S77" i="11"/>
  <c r="W109" i="11"/>
  <c r="L111" i="11"/>
  <c r="L103" i="11"/>
  <c r="L108" i="11"/>
  <c r="L113" i="11"/>
  <c r="L105" i="11"/>
  <c r="L110" i="11"/>
  <c r="L109" i="11"/>
  <c r="J138" i="11"/>
  <c r="J143" i="11"/>
  <c r="J135" i="11"/>
  <c r="J140" i="11"/>
  <c r="J145" i="11"/>
  <c r="J137" i="11"/>
  <c r="J136" i="11"/>
  <c r="U145" i="11"/>
  <c r="U137" i="11"/>
  <c r="U142" i="11"/>
  <c r="U139" i="11"/>
  <c r="U136" i="11"/>
  <c r="U143" i="11"/>
  <c r="U135" i="11"/>
  <c r="H64" i="11"/>
  <c r="H41" i="11" s="1"/>
  <c r="C49" i="11"/>
  <c r="C47" i="11"/>
  <c r="V49" i="11"/>
  <c r="V47" i="11"/>
  <c r="V46" i="11"/>
  <c r="E96" i="11"/>
  <c r="E71" i="11" s="1"/>
  <c r="W73" i="11"/>
  <c r="K96" i="11"/>
  <c r="K75" i="11" s="1"/>
  <c r="E107" i="11"/>
  <c r="E106" i="11"/>
  <c r="H160" i="11"/>
  <c r="H136" i="11" s="1"/>
  <c r="M145" i="11"/>
  <c r="M137" i="11"/>
  <c r="M142" i="11"/>
  <c r="M139" i="11"/>
  <c r="M136" i="11"/>
  <c r="M143" i="11"/>
  <c r="M135" i="11"/>
  <c r="V42" i="11"/>
  <c r="C43" i="11"/>
  <c r="S43" i="11"/>
  <c r="Z73" i="11"/>
  <c r="C81" i="11"/>
  <c r="C75" i="11"/>
  <c r="C74" i="11"/>
  <c r="C73" i="11"/>
  <c r="C72" i="11"/>
  <c r="C77" i="11"/>
  <c r="X78" i="11"/>
  <c r="X77" i="11"/>
  <c r="X76" i="11"/>
  <c r="X81" i="11"/>
  <c r="X75" i="11"/>
  <c r="X72" i="11"/>
  <c r="H105" i="11"/>
  <c r="H106" i="11"/>
  <c r="H107" i="11"/>
  <c r="D111" i="11"/>
  <c r="D103" i="11"/>
  <c r="D108" i="11"/>
  <c r="D113" i="11"/>
  <c r="D105" i="11"/>
  <c r="D110" i="11"/>
  <c r="D109" i="11"/>
  <c r="O110" i="11"/>
  <c r="O107" i="11"/>
  <c r="O104" i="11"/>
  <c r="O109" i="11"/>
  <c r="O108" i="11"/>
  <c r="M141" i="11"/>
  <c r="K160" i="11"/>
  <c r="K141" i="11" s="1"/>
  <c r="D140" i="11"/>
  <c r="D145" i="11"/>
  <c r="D137" i="11"/>
  <c r="D142" i="11"/>
  <c r="D139" i="11"/>
  <c r="D138" i="11"/>
  <c r="AB109" i="11"/>
  <c r="I110" i="11"/>
  <c r="G145" i="11"/>
  <c r="O145" i="11"/>
  <c r="AB110" i="11"/>
  <c r="I111" i="11"/>
  <c r="AB108" i="11"/>
  <c r="AC128" i="11"/>
  <c r="G136" i="11"/>
  <c r="O136" i="11"/>
  <c r="J125" i="3"/>
  <c r="F126" i="3"/>
  <c r="I126" i="3"/>
  <c r="G125" i="3"/>
  <c r="H125" i="3"/>
  <c r="K125" i="3"/>
  <c r="T103" i="11" l="1"/>
  <c r="T111" i="11"/>
  <c r="G144" i="11"/>
  <c r="E110" i="11"/>
  <c r="T107" i="11"/>
  <c r="E105" i="11"/>
  <c r="H79" i="11"/>
  <c r="E113" i="11"/>
  <c r="H77" i="11"/>
  <c r="T104" i="11"/>
  <c r="T112" i="11" s="1"/>
  <c r="E108" i="11"/>
  <c r="E112" i="11" s="1"/>
  <c r="T106" i="11"/>
  <c r="K105" i="11"/>
  <c r="E109" i="11"/>
  <c r="T108" i="11"/>
  <c r="T140" i="11"/>
  <c r="T109" i="11"/>
  <c r="H111" i="11"/>
  <c r="H104" i="11"/>
  <c r="K107" i="11"/>
  <c r="E111" i="11"/>
  <c r="K104" i="11"/>
  <c r="K113" i="11"/>
  <c r="H109" i="11"/>
  <c r="H112" i="11" s="1"/>
  <c r="Q75" i="11"/>
  <c r="K111" i="11"/>
  <c r="I144" i="11"/>
  <c r="H110" i="11"/>
  <c r="E103" i="11"/>
  <c r="H108" i="11"/>
  <c r="H103" i="11"/>
  <c r="I48" i="11"/>
  <c r="W79" i="11"/>
  <c r="U80" i="11"/>
  <c r="W72" i="11"/>
  <c r="P48" i="11"/>
  <c r="W76" i="11"/>
  <c r="I80" i="11"/>
  <c r="AC137" i="11"/>
  <c r="W111" i="11"/>
  <c r="K16" i="11"/>
  <c r="M80" i="11"/>
  <c r="K108" i="11"/>
  <c r="P144" i="11"/>
  <c r="E16" i="11"/>
  <c r="P112" i="11"/>
  <c r="U112" i="11"/>
  <c r="AB48" i="11"/>
  <c r="K103" i="11"/>
  <c r="D48" i="11"/>
  <c r="K109" i="11"/>
  <c r="K106" i="11"/>
  <c r="Z16" i="11"/>
  <c r="N78" i="11"/>
  <c r="Q79" i="11"/>
  <c r="Z135" i="11"/>
  <c r="Z138" i="11"/>
  <c r="Q76" i="11"/>
  <c r="Q74" i="11"/>
  <c r="J112" i="11"/>
  <c r="Q71" i="11"/>
  <c r="Q72" i="11"/>
  <c r="Q81" i="11"/>
  <c r="Q77" i="11"/>
  <c r="AC10" i="11"/>
  <c r="M48" i="11"/>
  <c r="R48" i="11"/>
  <c r="K77" i="11"/>
  <c r="V144" i="11"/>
  <c r="M16" i="11"/>
  <c r="AC15" i="11"/>
  <c r="Q73" i="11"/>
  <c r="W108" i="11"/>
  <c r="Z136" i="11"/>
  <c r="Z143" i="11"/>
  <c r="Z139" i="11"/>
  <c r="W105" i="11"/>
  <c r="W107" i="11"/>
  <c r="W44" i="11"/>
  <c r="W106" i="11"/>
  <c r="V80" i="11"/>
  <c r="G48" i="11"/>
  <c r="W113" i="11"/>
  <c r="W103" i="11"/>
  <c r="E72" i="11"/>
  <c r="R16" i="11"/>
  <c r="Z141" i="11"/>
  <c r="S48" i="11"/>
  <c r="E143" i="11"/>
  <c r="Z145" i="11"/>
  <c r="W75" i="11"/>
  <c r="W110" i="11"/>
  <c r="N104" i="11"/>
  <c r="Z140" i="11"/>
  <c r="Q106" i="11"/>
  <c r="AC135" i="11"/>
  <c r="AC7" i="11"/>
  <c r="G80" i="11"/>
  <c r="H76" i="11"/>
  <c r="H72" i="11"/>
  <c r="H73" i="11"/>
  <c r="M112" i="11"/>
  <c r="L80" i="11"/>
  <c r="C112" i="11"/>
  <c r="C16" i="11"/>
  <c r="Q109" i="11"/>
  <c r="AA144" i="11"/>
  <c r="J48" i="11"/>
  <c r="AA112" i="11"/>
  <c r="F80" i="11"/>
  <c r="R112" i="11"/>
  <c r="O48" i="11"/>
  <c r="F144" i="11"/>
  <c r="H75" i="11"/>
  <c r="W139" i="11"/>
  <c r="H78" i="11"/>
  <c r="K40" i="11"/>
  <c r="Q104" i="11"/>
  <c r="H81" i="11"/>
  <c r="C115" i="10"/>
  <c r="N16" i="11"/>
  <c r="X144" i="11"/>
  <c r="L48" i="11"/>
  <c r="C112" i="10"/>
  <c r="Y48" i="11"/>
  <c r="H71" i="11"/>
  <c r="S112" i="11"/>
  <c r="S144" i="11"/>
  <c r="W74" i="11"/>
  <c r="T32" i="11"/>
  <c r="T17" i="11" s="1"/>
  <c r="C144" i="11"/>
  <c r="AC72" i="11"/>
  <c r="AC12" i="11"/>
  <c r="AC14" i="11"/>
  <c r="T16" i="11"/>
  <c r="C80" i="11"/>
  <c r="Q139" i="11"/>
  <c r="AC13" i="11"/>
  <c r="AC9" i="11"/>
  <c r="Y144" i="11"/>
  <c r="E137" i="11"/>
  <c r="E135" i="11"/>
  <c r="AC8" i="11"/>
  <c r="AC11" i="11"/>
  <c r="X48" i="11"/>
  <c r="K135" i="11"/>
  <c r="AB144" i="11"/>
  <c r="N105" i="11"/>
  <c r="AC77" i="11"/>
  <c r="N103" i="11"/>
  <c r="F16" i="11"/>
  <c r="C48" i="11"/>
  <c r="O144" i="11"/>
  <c r="Z142" i="11"/>
  <c r="K143" i="11"/>
  <c r="Q141" i="11"/>
  <c r="T74" i="11"/>
  <c r="R80" i="11"/>
  <c r="S16" i="11"/>
  <c r="AC143" i="11"/>
  <c r="Q39" i="11"/>
  <c r="N77" i="11"/>
  <c r="V48" i="11"/>
  <c r="N81" i="11"/>
  <c r="AA48" i="11"/>
  <c r="T141" i="11"/>
  <c r="AC76" i="11"/>
  <c r="AC74" i="11"/>
  <c r="J80" i="11"/>
  <c r="Z43" i="11"/>
  <c r="I16" i="11"/>
  <c r="N71" i="11"/>
  <c r="AC73" i="11"/>
  <c r="U48" i="11"/>
  <c r="N79" i="11"/>
  <c r="L16" i="11"/>
  <c r="R144" i="11"/>
  <c r="AC79" i="11"/>
  <c r="O80" i="11"/>
  <c r="AB80" i="11"/>
  <c r="S80" i="11"/>
  <c r="N74" i="11"/>
  <c r="P16" i="11"/>
  <c r="AC71" i="11"/>
  <c r="AC75" i="11"/>
  <c r="AA80" i="11"/>
  <c r="O112" i="11"/>
  <c r="D144" i="11"/>
  <c r="V112" i="11"/>
  <c r="N110" i="11"/>
  <c r="N76" i="11"/>
  <c r="N75" i="11"/>
  <c r="X80" i="11"/>
  <c r="I112" i="11"/>
  <c r="Q16" i="11"/>
  <c r="H16" i="11"/>
  <c r="G112" i="11"/>
  <c r="N73" i="11"/>
  <c r="D80" i="11"/>
  <c r="N139" i="11"/>
  <c r="N136" i="11"/>
  <c r="N141" i="11"/>
  <c r="N138" i="11"/>
  <c r="N137" i="11"/>
  <c r="N145" i="11"/>
  <c r="Q113" i="11"/>
  <c r="Q107" i="11"/>
  <c r="Q111" i="11"/>
  <c r="P80" i="11"/>
  <c r="W140" i="11"/>
  <c r="J144" i="11"/>
  <c r="G16" i="11"/>
  <c r="F112" i="11"/>
  <c r="L112" i="11"/>
  <c r="Z80" i="11"/>
  <c r="Q138" i="11"/>
  <c r="Q143" i="11"/>
  <c r="Q135" i="11"/>
  <c r="Q140" i="11"/>
  <c r="Q145" i="11"/>
  <c r="Q136" i="11"/>
  <c r="Q137" i="11"/>
  <c r="AC49" i="11"/>
  <c r="AC45" i="11"/>
  <c r="AC44" i="11"/>
  <c r="AC40" i="11"/>
  <c r="AC46" i="11"/>
  <c r="AC39" i="11"/>
  <c r="AC41" i="11"/>
  <c r="AC47" i="11"/>
  <c r="F48" i="11"/>
  <c r="D112" i="11"/>
  <c r="Q41" i="11"/>
  <c r="Q40" i="11"/>
  <c r="Q45" i="11"/>
  <c r="Q42" i="11"/>
  <c r="Q43" i="11"/>
  <c r="Q44" i="11"/>
  <c r="N142" i="11"/>
  <c r="K140" i="11"/>
  <c r="K145" i="11"/>
  <c r="K137" i="11"/>
  <c r="K142" i="11"/>
  <c r="K138" i="11"/>
  <c r="K139" i="11"/>
  <c r="H141" i="11"/>
  <c r="H138" i="11"/>
  <c r="H143" i="11"/>
  <c r="H135" i="11"/>
  <c r="H140" i="11"/>
  <c r="H145" i="11"/>
  <c r="H139" i="11"/>
  <c r="H49" i="11"/>
  <c r="H44" i="11"/>
  <c r="H43" i="11"/>
  <c r="H45" i="11"/>
  <c r="H46" i="11"/>
  <c r="H47" i="11"/>
  <c r="H40" i="11"/>
  <c r="H39" i="11"/>
  <c r="E42" i="11"/>
  <c r="T73" i="11"/>
  <c r="T79" i="11"/>
  <c r="T71" i="11"/>
  <c r="T76" i="11"/>
  <c r="T78" i="11"/>
  <c r="T77" i="11"/>
  <c r="T75" i="11"/>
  <c r="T81" i="11"/>
  <c r="L144" i="11"/>
  <c r="O16" i="11"/>
  <c r="N113" i="11"/>
  <c r="N108" i="11"/>
  <c r="N109" i="11"/>
  <c r="N106" i="11"/>
  <c r="D16" i="11"/>
  <c r="AC43" i="11"/>
  <c r="C102" i="9"/>
  <c r="C89" i="10"/>
  <c r="C86" i="10"/>
  <c r="E73" i="11"/>
  <c r="E78" i="11"/>
  <c r="E81" i="11"/>
  <c r="E75" i="11"/>
  <c r="E74" i="11"/>
  <c r="E76" i="11"/>
  <c r="E77" i="11"/>
  <c r="N42" i="11"/>
  <c r="N49" i="11"/>
  <c r="N41" i="11"/>
  <c r="N43" i="11"/>
  <c r="N45" i="11"/>
  <c r="N44" i="11"/>
  <c r="N46" i="11"/>
  <c r="N47" i="11"/>
  <c r="W136" i="11"/>
  <c r="W141" i="11"/>
  <c r="W138" i="11"/>
  <c r="W145" i="11"/>
  <c r="W143" i="11"/>
  <c r="W142" i="11"/>
  <c r="W135" i="11"/>
  <c r="T49" i="11"/>
  <c r="T47" i="11"/>
  <c r="T40" i="11"/>
  <c r="T39" i="11"/>
  <c r="T43" i="11"/>
  <c r="T44" i="11"/>
  <c r="T41" i="11"/>
  <c r="T42" i="11"/>
  <c r="T46" i="11"/>
  <c r="Q108" i="11"/>
  <c r="H42" i="11"/>
  <c r="N40" i="11"/>
  <c r="M144" i="11"/>
  <c r="AB112" i="11"/>
  <c r="E49" i="11"/>
  <c r="E45" i="11"/>
  <c r="E44" i="11"/>
  <c r="E41" i="11"/>
  <c r="E39" i="11"/>
  <c r="E46" i="11"/>
  <c r="E40" i="11"/>
  <c r="E47" i="11"/>
  <c r="W47" i="11"/>
  <c r="W39" i="11"/>
  <c r="W49" i="11"/>
  <c r="W43" i="11"/>
  <c r="W40" i="11"/>
  <c r="W41" i="11"/>
  <c r="W46" i="11"/>
  <c r="W42" i="11"/>
  <c r="T145" i="11"/>
  <c r="T137" i="11"/>
  <c r="T142" i="11"/>
  <c r="T139" i="11"/>
  <c r="T143" i="11"/>
  <c r="T135" i="11"/>
  <c r="T136" i="11"/>
  <c r="Q105" i="11"/>
  <c r="J16" i="11"/>
  <c r="E145" i="11"/>
  <c r="E142" i="11"/>
  <c r="E139" i="11"/>
  <c r="E136" i="11"/>
  <c r="E140" i="11"/>
  <c r="E141" i="11"/>
  <c r="H137" i="11"/>
  <c r="AC108" i="11"/>
  <c r="AC113" i="11"/>
  <c r="AC105" i="11"/>
  <c r="AC110" i="11"/>
  <c r="AC107" i="11"/>
  <c r="AC106" i="11"/>
  <c r="AC103" i="11"/>
  <c r="AC104" i="11"/>
  <c r="AC109" i="11"/>
  <c r="AC111" i="11"/>
  <c r="K81" i="11"/>
  <c r="K74" i="11"/>
  <c r="K73" i="11"/>
  <c r="K72" i="11"/>
  <c r="K78" i="11"/>
  <c r="K76" i="11"/>
  <c r="K71" i="11"/>
  <c r="K79" i="11"/>
  <c r="E79" i="11"/>
  <c r="U144" i="11"/>
  <c r="Z46" i="11"/>
  <c r="Z45" i="11"/>
  <c r="Z42" i="11"/>
  <c r="Z49" i="11"/>
  <c r="Z40" i="11"/>
  <c r="Z39" i="11"/>
  <c r="Z47" i="11"/>
  <c r="Z41" i="11"/>
  <c r="Q46" i="11"/>
  <c r="N39" i="11"/>
  <c r="Q110" i="11"/>
  <c r="H142" i="11"/>
  <c r="N111" i="11"/>
  <c r="AC81" i="11"/>
  <c r="AC145" i="11"/>
  <c r="AC142" i="11"/>
  <c r="AC139" i="11"/>
  <c r="AC136" i="11"/>
  <c r="AC140" i="11"/>
  <c r="AC141" i="11"/>
  <c r="K49" i="11"/>
  <c r="K47" i="11"/>
  <c r="K43" i="11"/>
  <c r="K42" i="11"/>
  <c r="K39" i="11"/>
  <c r="K44" i="11"/>
  <c r="K45" i="11"/>
  <c r="K46" i="11"/>
  <c r="N143" i="11"/>
  <c r="K136" i="11"/>
  <c r="K112" i="11" l="1"/>
  <c r="Z144" i="11"/>
  <c r="W80" i="11"/>
  <c r="Q80" i="11"/>
  <c r="W112" i="11"/>
  <c r="H80" i="11"/>
  <c r="N80" i="11"/>
  <c r="N112" i="11"/>
  <c r="E144" i="11"/>
  <c r="H48" i="11"/>
  <c r="Q48" i="11"/>
  <c r="K144" i="11"/>
  <c r="AC144" i="11"/>
  <c r="Q112" i="11"/>
  <c r="E80" i="11"/>
  <c r="N48" i="11"/>
  <c r="N144" i="11"/>
  <c r="AC80" i="11"/>
  <c r="T144" i="11"/>
  <c r="W144" i="11"/>
  <c r="T80" i="11"/>
  <c r="H144" i="11"/>
  <c r="Q144" i="11"/>
  <c r="E48" i="11"/>
  <c r="AC112" i="11"/>
  <c r="T48" i="11"/>
  <c r="AC48" i="11"/>
  <c r="K48" i="11"/>
  <c r="K80" i="11"/>
  <c r="Z48" i="11"/>
  <c r="W48" i="11"/>
</calcChain>
</file>

<file path=xl/sharedStrings.xml><?xml version="1.0" encoding="utf-8"?>
<sst xmlns="http://schemas.openxmlformats.org/spreadsheetml/2006/main" count="1265" uniqueCount="415">
  <si>
    <t>Klienttillströmning till kriminalvården</t>
  </si>
  <si>
    <t>Danmark</t>
  </si>
  <si>
    <t>Finland</t>
  </si>
  <si>
    <t>Island</t>
  </si>
  <si>
    <t>Norge</t>
  </si>
  <si>
    <t>Sverige</t>
  </si>
  <si>
    <t>Medelantal frihetsberövade per kategori</t>
  </si>
  <si>
    <t>Medelantal frivårdsklienter per kategori</t>
  </si>
  <si>
    <t>Rymningar direkt från anstalts- eller häktesområde</t>
  </si>
  <si>
    <t>Dödsfall i anstalter och häkten</t>
  </si>
  <si>
    <t>Anstalts- och häktesenheter, antal och tillgängliga platser vid årets slut</t>
  </si>
  <si>
    <t>Tillgängliga platser, beläggning och beläggningsprocent i medeltal</t>
  </si>
  <si>
    <t>Personal i kriminalvården i absoluta tal och i relation till antalet klienter</t>
  </si>
  <si>
    <t>Återfall i brott inom två år efter avgång från anstalt</t>
  </si>
  <si>
    <t xml:space="preserve">Påbörjade fängelsestraff </t>
  </si>
  <si>
    <t>Nytillkomna frivårdsklienter</t>
  </si>
  <si>
    <t>Därav</t>
  </si>
  <si>
    <t>Påbörjade fängelsestraff per 100 000 av</t>
  </si>
  <si>
    <t>Nytillkomna frivårdsklienter per 100 000 av</t>
  </si>
  <si>
    <t>övriga</t>
  </si>
  <si>
    <t>samhällstjänst</t>
  </si>
  <si>
    <t>samhällsstraff</t>
  </si>
  <si>
    <t>villkorlig frigivning med övervakning</t>
  </si>
  <si>
    <t>villkorlig dom med övervakning</t>
  </si>
  <si>
    <t>tillsyn av psykiskt sjuka som är kriminella</t>
  </si>
  <si>
    <t>kontraktsvård</t>
  </si>
  <si>
    <t>skyddstillsyn exkl. samhällstjänst och kontraktsvård</t>
  </si>
  <si>
    <t>elektronisk kontroll (intensivövervakning)</t>
  </si>
  <si>
    <t>utsluss med elektronisk kontroll</t>
  </si>
  <si>
    <t>folkmängden, 15 år eller äldre</t>
  </si>
  <si>
    <t>hela folkmängden</t>
  </si>
  <si>
    <t>1.2 Finland</t>
  </si>
  <si>
    <t>1.3 Island</t>
  </si>
  <si>
    <t>1.4 Norge</t>
  </si>
  <si>
    <t>1.5 Sverige</t>
  </si>
  <si>
    <t>2.2 Finland</t>
  </si>
  <si>
    <t>2.3 Island</t>
  </si>
  <si>
    <t>2.4 Norge</t>
  </si>
  <si>
    <t>2.5 Sverige</t>
  </si>
  <si>
    <t>Dömda per 100 000 av</t>
  </si>
  <si>
    <t>Samtliga frihetsberövade per 100 000 av</t>
  </si>
  <si>
    <t>häktade</t>
  </si>
  <si>
    <t>procent</t>
  </si>
  <si>
    <t>bötesförvandling</t>
  </si>
  <si>
    <t>inskrivna för förvaring</t>
  </si>
  <si>
    <t>dömda till fängelse</t>
  </si>
  <si>
    <t>övriga inskrivna</t>
  </si>
  <si>
    <t>3.2 Finland</t>
  </si>
  <si>
    <t>3.3 Island</t>
  </si>
  <si>
    <t>3.4 Norge</t>
  </si>
  <si>
    <t>3.5 Sverige</t>
  </si>
  <si>
    <t>därav</t>
  </si>
  <si>
    <t>Frivårdsklienter per 100 000 av</t>
  </si>
  <si>
    <t xml:space="preserve"> elektronisk kontroll (intensivövervakning)</t>
  </si>
  <si>
    <t xml:space="preserve">folkmängden, 15 år eller äldre </t>
  </si>
  <si>
    <t>kvinnor</t>
  </si>
  <si>
    <t>utländska medborgare</t>
  </si>
  <si>
    <t>livstidsdömda</t>
  </si>
  <si>
    <t>antal</t>
  </si>
  <si>
    <t xml:space="preserve"> därav nordiska </t>
  </si>
  <si>
    <t xml:space="preserve"> procent</t>
  </si>
  <si>
    <t>15 – 17 åringar</t>
  </si>
  <si>
    <t>Öppna anstalter</t>
  </si>
  <si>
    <t>Slutna anstalter och häkten</t>
  </si>
  <si>
    <t>Antal rymningar</t>
  </si>
  <si>
    <t xml:space="preserve">Rymningar per 100 000 vårddygn </t>
  </si>
  <si>
    <t>Rymningar per 100 000 vårddygn</t>
  </si>
  <si>
    <t>Antal självmord</t>
  </si>
  <si>
    <t>Övriga dödsfall</t>
  </si>
  <si>
    <t>Öppna anstaltsenheter</t>
  </si>
  <si>
    <t>Slutna anstaltsenheter</t>
  </si>
  <si>
    <t>Häktesenheter</t>
  </si>
  <si>
    <t>Totalt antal enheter</t>
  </si>
  <si>
    <t>antal enheter</t>
  </si>
  <si>
    <t>största enhet</t>
  </si>
  <si>
    <t>minsta enhet</t>
  </si>
  <si>
    <t>antal platser vid</t>
  </si>
  <si>
    <t>Genomsnittligt antal utdömda månader för fängelsestraff</t>
  </si>
  <si>
    <t>Slutna anstalter</t>
  </si>
  <si>
    <t>Häkten</t>
  </si>
  <si>
    <t>Totalt</t>
  </si>
  <si>
    <t>antal platser</t>
  </si>
  <si>
    <t>beläggning</t>
  </si>
  <si>
    <t>beläggningsprocent</t>
  </si>
  <si>
    <t>Personal per 100 intagna</t>
  </si>
  <si>
    <t>Frivården</t>
  </si>
  <si>
    <t>Personal per 100  frivårdsklienter</t>
  </si>
  <si>
    <t>Central administration</t>
  </si>
  <si>
    <t>Anstalter och häkten</t>
  </si>
  <si>
    <t>Mord, dråp och försök</t>
  </si>
  <si>
    <t>Våldsbrott och hot</t>
  </si>
  <si>
    <t>Narkotikabrott</t>
  </si>
  <si>
    <t>Tillgreppsbrott</t>
  </si>
  <si>
    <t>Rån</t>
  </si>
  <si>
    <t>Sexualbrott</t>
  </si>
  <si>
    <t>Ekonomiska brott</t>
  </si>
  <si>
    <t>Trafikbrott</t>
  </si>
  <si>
    <t>Övrigt</t>
  </si>
  <si>
    <t>Procent av alla</t>
  </si>
  <si>
    <t>N</t>
  </si>
  <si>
    <t>Män</t>
  </si>
  <si>
    <t>Kvinnor</t>
  </si>
  <si>
    <t>Huvudbrott - antal</t>
  </si>
  <si>
    <t>10.1 Danmark</t>
  </si>
  <si>
    <t>11.1 Danmark</t>
  </si>
  <si>
    <t>11.2 Finland</t>
  </si>
  <si>
    <t>11.3 Island</t>
  </si>
  <si>
    <t>11.5 Sverige</t>
  </si>
  <si>
    <t>4.1 Danmark</t>
  </si>
  <si>
    <t>4.2 Finland</t>
  </si>
  <si>
    <t>4.3 Island</t>
  </si>
  <si>
    <t>4.4 Norge</t>
  </si>
  <si>
    <t>4.5 Sverige</t>
  </si>
  <si>
    <t>5.1 Danmark</t>
  </si>
  <si>
    <t>5.2 Finland</t>
  </si>
  <si>
    <t>5.3 Island</t>
  </si>
  <si>
    <t>5.4 Norge</t>
  </si>
  <si>
    <t>5.5 Sverige</t>
  </si>
  <si>
    <t>6.2 Finland</t>
  </si>
  <si>
    <t>6.3 Island</t>
  </si>
  <si>
    <t>6.5 Sverige</t>
  </si>
  <si>
    <t>7.2 Finland</t>
  </si>
  <si>
    <t>7.3 Island</t>
  </si>
  <si>
    <t>7.4 Norge</t>
  </si>
  <si>
    <t>9.4 Norge</t>
  </si>
  <si>
    <t>10.2 Finland</t>
  </si>
  <si>
    <t>10.3 Island</t>
  </si>
  <si>
    <t>10.5 Sverige</t>
  </si>
  <si>
    <t>Antal klienter som avgått från anstalt</t>
  </si>
  <si>
    <t>Antal återfall i brott</t>
  </si>
  <si>
    <t>Andel återfall i brott</t>
  </si>
  <si>
    <t>Folkmängden 15 - 20 år</t>
  </si>
  <si>
    <t>Folkmängd</t>
  </si>
  <si>
    <r>
      <t xml:space="preserve">Folkmängden, </t>
    </r>
    <r>
      <rPr>
        <b/>
        <i/>
        <sz val="10"/>
        <rFont val="Calibri"/>
        <family val="2"/>
        <scheme val="minor"/>
      </rPr>
      <t>15 år eller äldre</t>
    </r>
  </si>
  <si>
    <r>
      <t>hela</t>
    </r>
    <r>
      <rPr>
        <i/>
        <sz val="10"/>
        <rFont val="Calibri"/>
        <family val="2"/>
        <scheme val="minor"/>
      </rPr>
      <t xml:space="preserve"> folkmängden</t>
    </r>
  </si>
  <si>
    <t>Tabell 1</t>
  </si>
  <si>
    <t>Tabell 2</t>
  </si>
  <si>
    <t>Tabell 3</t>
  </si>
  <si>
    <t>Tabell 4</t>
  </si>
  <si>
    <t>Tabell 5</t>
  </si>
  <si>
    <t>Tabell 6</t>
  </si>
  <si>
    <t>Tabell 7</t>
  </si>
  <si>
    <t>Tabell 8</t>
  </si>
  <si>
    <t>Tabell 9</t>
  </si>
  <si>
    <t>Tabell 10</t>
  </si>
  <si>
    <t>Tabell 11</t>
  </si>
  <si>
    <t>Tabell 12</t>
  </si>
  <si>
    <t>Innehållsförteckning</t>
  </si>
  <si>
    <t>Definitioner</t>
  </si>
  <si>
    <t>Beläggning</t>
  </si>
  <si>
    <t>Personer som upptar en plats som drivs av kriminalvården.</t>
  </si>
  <si>
    <t>Bötesförvandling</t>
  </si>
  <si>
    <t>De som tilldömts böter och inte betalat kan i stället få avtjäna en tid i fängelse. I Danmark, Island och Norge kan en person som först avtjänar en fängelsedom vara kvar i fängelse för att avtjäna bötesstraff.</t>
  </si>
  <si>
    <t>Bötesförvandling i Finland och Sverige innebär att den som döms till böter och inte kan betala, döms på nytt. I Sverige blir domen då fängelse i lägst fjorton dagar och högst tre månader. I Finland blir domen fängelse lägst fyra och högst 60 dagar.</t>
  </si>
  <si>
    <t>Dömda till fängelse</t>
  </si>
  <si>
    <t>Elektronisk kontroll</t>
  </si>
  <si>
    <t>Elektronisk kontroll har funnits i svensk kriminalvård sedan 1994. Från den 1 april 2005 kan man få avtjäna med elektronisk kontroll vid fängelsestraff på högst sex månader. Fotboja används också som en utslussåtgärd för intagna som är dömda till minst sex månaders fängelse.</t>
  </si>
  <si>
    <t>Enhet</t>
  </si>
  <si>
    <t>En hel eller en del av en anstalt. En anstalt som har en sluten och en öppen del räknas som två enheter. En anstalt som har två geografiskt åtskilda delar där båda är slutna/öppna räknas också som två enheter.</t>
  </si>
  <si>
    <t>Frivård</t>
  </si>
  <si>
    <t>Med frivård avses klienter som avtjänar sin verkställighet i frihet, motsvarande kriminalvård i frihet. Klienter med elektronisk kontroll ingår. Villkorligt frigivna med övervakning (på danska: tilsyn) ingår också.</t>
  </si>
  <si>
    <t>Förvaring</t>
  </si>
  <si>
    <t>Förvaring i Danmark är ett tidsobestämt straff som kan utdömas om en person begått ett allvarligt brott och utgör fara för andras liv. Rätten avgör när personen ska friges. I Norge är förvaring ett tidsobestämt straff som kan utdömas om en person begått ett allvarligt brott och rätten menar att det är risk för återfall. Det utdöms en maximitid och vanligtvis en minimitid som ska avtjänas. Den förvaringsdömda kan friges på prov när minimitiden är avtjänat. Maximitidet kan förlängas av domstolen.</t>
  </si>
  <si>
    <t>Häktade</t>
  </si>
  <si>
    <t>Personer misstänkta för brott som är frihetsberövade efter beslut av domstol. I Danmark och Norge ingår en liten grupp som är satt i fängelse enligt polisens order (i Danmark upp till 24 timmar och i Norge upp till 48 timmar).</t>
  </si>
  <si>
    <t>Häkte</t>
  </si>
  <si>
    <t>En sluten enhet där häktade med flera förvaras. I Danmark är begreppet arresthus. Københavns Fængsler ingår under häkten. Majoriteten av platserna används till häktade personer, och endast en liten andel till personer som verkställer ett fängelsestraff. Det samma gäller i Sverige. I Finland, Island och Norge finns inte några särskilda häkten utan häktade finns på vissa slutna anstalter.</t>
  </si>
  <si>
    <t>Huvudbrott</t>
  </si>
  <si>
    <r>
      <t>Det brott i domen som har den längsta strafftiden. I mord/dråp ingår planerat och oplanerat dråp och försök till mord eller dråp, men inte oaktsamt dödande. I narkotikabrott ingår även smuggling. Hot ingår i våldsbrott. Rattfylleri ingår i trafikbrott.</t>
    </r>
    <r>
      <rPr>
        <strike/>
        <sz val="12"/>
        <color theme="1"/>
        <rFont val="Garamond"/>
        <family val="1"/>
      </rPr>
      <t xml:space="preserve"> </t>
    </r>
  </si>
  <si>
    <t>Inskrivna</t>
  </si>
  <si>
    <t>Inskrivna avser alla som avtjänar en verkställighet inom Kriminalvården, det vill säga inom anstalt, häkte och frivård. Inskrivna inkluderar även klienter med pågående verkställighet som till exempel är på sjukhus, på behandlingshem eller någon form av utslussningsboende som inte tillhör kriminalvården. För häkte och anstalt inkluderas även vissa andra grupper som inte verkställer ett straff.</t>
  </si>
  <si>
    <t xml:space="preserve">Kontraktsvård </t>
  </si>
  <si>
    <t>Skyddstillsyn med särskild behandlingsplan finns endast i Sverige. En villkorlig dom som ersätter ett fängelsestraff på upp till två år. Förutom det som ingår i skyddstillsynen ska den dömde följa en särskild behandlingsplan. Påföljden är främst avsedd för missbrukare. Den dömde ska lämna sitt samtycke och innebär behandling på behandlingshem eller i öppenvård.</t>
  </si>
  <si>
    <t>Livstidsdömda</t>
  </si>
  <si>
    <t>Personer dömda till fängelse på livstid. I Danmark avgörs det om den dömde skall friges på prov när 12 år av straffet är avtjänat. Det bestäms en prövotid på upp till 5 år.</t>
  </si>
  <si>
    <t>Personal</t>
  </si>
  <si>
    <t>Den totala personalresursen oavsett sjukfrånvaro, uttryckt i årsarbetskrafter/heltidstjänster, som är anställda i kriminalvården. En person som arbetar halvtid och är anställd sex månader under ett budgetår är således 0,25 personalresurser.</t>
  </si>
  <si>
    <t>I Sverige är läkare normalt inte anställda, lärare är anställda av kriminalvården sedan år 2008.</t>
  </si>
  <si>
    <t>Personalkategorier som ingår i tabell 9.</t>
  </si>
  <si>
    <t>Personalkategorier</t>
  </si>
  <si>
    <t>Lärare för intagna</t>
  </si>
  <si>
    <t>Ja</t>
  </si>
  <si>
    <t>Delvis</t>
  </si>
  <si>
    <t>Nej</t>
  </si>
  <si>
    <t>Lärare för personal</t>
  </si>
  <si>
    <t>Vårdare i utbildning</t>
  </si>
  <si>
    <t>Vårdare i praktik</t>
  </si>
  <si>
    <t>Läkare</t>
  </si>
  <si>
    <t>Sjukvårdspersonal</t>
  </si>
  <si>
    <t>Kultur och fritid</t>
  </si>
  <si>
    <t>Behandlare/</t>
  </si>
  <si>
    <t>programledare</t>
  </si>
  <si>
    <t>Transporttjänsten</t>
  </si>
  <si>
    <t>Platser</t>
  </si>
  <si>
    <t>Tillgängliga platser dvs. platser som kan beläggas heldygn kontinuerligt och har varit eller kunde ha varit i bruk.</t>
  </si>
  <si>
    <t>Påbörjade fängelsestraff</t>
  </si>
  <si>
    <t>Personer som under perioden påbörjat verkställighet av frihetsberövande straff i fängelse och häkte. Bötesfångar och klienter med fotboja (elektronisk kontroll) är ej medräknade.</t>
  </si>
  <si>
    <t>Rymningar direkt från anstalt eller häkte</t>
  </si>
  <si>
    <t>Antalet gånger personer har avvikit direkt från anstalten eller häktets område (innanför fysiskt hinder på slutna anstalter och häkten). Om två personer avviker samtidigt räknas det alltså som två avvikelser.</t>
  </si>
  <si>
    <t>Samhällstjänst</t>
  </si>
  <si>
    <t>Skall ersätta ett fängelsestraff genom att den dömde utför oavlönat arbete i ett bestämt antal timmar. Arbetet utförs oftast för någon ideell förening. Den dömde ska lämna sitt samtycke.</t>
  </si>
  <si>
    <t xml:space="preserve">Samhällsstraff </t>
  </si>
  <si>
    <t xml:space="preserve"> I det norska ”samfunnsstraffet” skall de utdömda timmarna, från 30 till maximalt 420, avtjänas genom a) samhällsnyttigt arbete b) deltagande i programverksamhet eller c) andra åtgärder som syftar till att motverka återfall i ny kriminalitet. Samhällsnyttigt arbete motsvarar det som tidigare kallades "samfunnstjeneste" (samhällstjänst) i Norge. Den dömde ska lämna sitt samtycke. Samhällsstraff kombineras med övervakning.</t>
  </si>
  <si>
    <t>Skyddstillsyn</t>
  </si>
  <si>
    <t>Anstalter/enheter med någon form av rymningshinder.</t>
  </si>
  <si>
    <t xml:space="preserve">Straffbarhetsåldern </t>
  </si>
  <si>
    <t>I de nordiska länderna har straffbarhetsåldern hittills varit 15 år. Den 1 juli 2010 blev straffbarhetsåldern sänkt till 14 år i Danmark. I februari 2012 beslutade folketinget att ändra beslutet och straffbarhetsåldern är nu igen 15 år.</t>
  </si>
  <si>
    <t>Tillsyn av psykiskt sjuka som är kriminella</t>
  </si>
  <si>
    <t>Finns endast i Danmark. Personer som är psykiskt sjuka och som på grund av att de har begått brott är dömda till psykiatrisk vård samt tillsyn av frivården.</t>
  </si>
  <si>
    <t>Utländska medborgare</t>
  </si>
  <si>
    <t>Personer med utländskt medborgarskap oavsett var de är bosatta.</t>
  </si>
  <si>
    <t>Villkorlig dom med övervakning</t>
  </si>
  <si>
    <t>I Norge kan förare påverkade av alkohol, droger eller medicinering dömas till ett villkorligt fängelsestraff om den dömde deltar i ett behandlingsprogram. Det innehåller en bedömning av behovet av behandling, individuella samtal minst en gång var fjortonde dag samt 20 till 30 timmars utbildning som normalt sker i grupp. Den dömde ska lämna sitt samtycke. Majoriteten av deltagarna består av rattfyllerister.</t>
  </si>
  <si>
    <t>Villkorligt frigivna med övervakning</t>
  </si>
  <si>
    <t>De klienter som avtjänat fängelsestraff och frigivits efter att del av strafftiden avtjänats enligt särskilda regler. De som redovisas som frivårdsklienter är villkorligt frigivna som efter frigivningen har en övervakare. Villkor om missbruksvård m.m. kan förekomma.</t>
  </si>
  <si>
    <t>Återfall</t>
  </si>
  <si>
    <t>Till återfall räknas enbart brott som begås under aktuell uppföljningsperiod och där klienten genom lagakraftvunnen dom döms till en ny kriminalvårdspåföljd.  Detta innebär till exempel att domar som innebär enbart böter inte räknas som återfall. Uppföljningsperioden är två år.</t>
  </si>
  <si>
    <t>Populationen består av fängelsedömda klienter som avgått från anstalt under respektive år. I begreppet avgått från anstalt ingår även fängelsedömda klienter som avslutar sin anstaltsverkställighet på häkte. Klienter kan avgå från flera anstaltsverkställigheter under samma år vilket innebär att populationen inte utgörs av unika klienter. I populationen ingår inte klienter som under uppföljningsperioden har avlidit.</t>
  </si>
  <si>
    <t>Återfallssiffrorna bör främst användas för att få en förståelse för hur utvecklingen av återfall ser ut i respektive land. Siffrorna är inte jämförbara mellan länderna då det finns skillnader i hur rättsväsendet i de olika länderna fungerar. Andelen återfall redovisar utifrån när en klient döms till en ny påföljd vilket innebär att tiden från brott till dom blir viktig för nivån på återfall. Tiden mellan brott och dom varierar inte bara mellan länder, som en effekt av olika rättsväsenden, utan också utifrån olika brottstyper inom varje land då vissa typer av brott har längre handläggningstider. Inom varje land kan dessutom handläggningstiderna variera mellan år.</t>
  </si>
  <si>
    <t>Den typ av anstalt/enhet där egentliga rymningshinder inte finns.</t>
  </si>
  <si>
    <t>Teckenförklaring</t>
  </si>
  <si>
    <t>-</t>
  </si>
  <si>
    <t>noll</t>
  </si>
  <si>
    <t>mindre än 0,5</t>
  </si>
  <si>
    <t xml:space="preserve">. </t>
  </si>
  <si>
    <t>ingen adekvat uppgift</t>
  </si>
  <si>
    <t>..</t>
  </si>
  <si>
    <t>ingen uppgift</t>
  </si>
  <si>
    <t>Avrundning kan medföra att summan av talen i någon tabell avviker från totalen</t>
  </si>
  <si>
    <t>Medelantal inskrivna frihetsberövade [1]</t>
  </si>
  <si>
    <t xml:space="preserve">[1] Mätning varje dag. </t>
  </si>
  <si>
    <t>[2] Villkorlig dom med samhällstjänst redovisas tillsammans med annan samhällstjänst.</t>
  </si>
  <si>
    <t>Medelantal inskrivna frivårdsklienter [1]</t>
  </si>
  <si>
    <t>samhällstjänst [2]</t>
  </si>
  <si>
    <t>[2] Från och med 1999 döms ungdomar i Sverige till sluten ungdomsvård som tidsbestämts av domstolen och som verkställs hos Statens Institutionsstyrelse.</t>
  </si>
  <si>
    <r>
      <t xml:space="preserve">15 – 17 åringar </t>
    </r>
    <r>
      <rPr>
        <sz val="10"/>
        <color theme="1"/>
        <rFont val="Calibri"/>
        <family val="2"/>
        <scheme val="minor"/>
      </rPr>
      <t>[2]</t>
    </r>
  </si>
  <si>
    <t>[1] Observera att återfallssiffrorna inte är direkt jämförbara mellan länderna, se definitionen för återfall.</t>
  </si>
  <si>
    <t xml:space="preserve">[1] Beräkningen grundar sig på utdömda straff för alla fängelsedomar i Danmark (sammanställd av Danmarks Statistik) Finland och Norge under aktuellt år. </t>
  </si>
  <si>
    <t xml:space="preserve">I Island och Sverige grundar sig beräkningen på utdömda straff i de fängelsedomar som kriminalvården mottagit under aktuellt år. Skillnaden i beräkningen </t>
  </si>
  <si>
    <t>kan ha en viss betydelse för resultatet, då straffnivån mellan länderna inte är direkt jämförbara. Skillnaden kommer dock inte påverka utvecklingen över tid.</t>
  </si>
  <si>
    <t xml:space="preserve">[1] Villkorlig dom med samhällstjänst redovisas tillsammans med annan samhällstjänst. </t>
  </si>
  <si>
    <r>
      <t xml:space="preserve">Central administration </t>
    </r>
    <r>
      <rPr>
        <sz val="10"/>
        <color theme="1"/>
        <rFont val="Calibri"/>
        <family val="2"/>
        <scheme val="minor"/>
      </rPr>
      <t>[2]</t>
    </r>
  </si>
  <si>
    <r>
      <t xml:space="preserve">Anstalter och häkten </t>
    </r>
    <r>
      <rPr>
        <sz val="10"/>
        <color theme="1"/>
        <rFont val="Calibri"/>
        <family val="2"/>
        <scheme val="minor"/>
      </rPr>
      <t>[3]</t>
    </r>
  </si>
  <si>
    <r>
      <t xml:space="preserve">9.5 Sverige </t>
    </r>
    <r>
      <rPr>
        <vertAlign val="superscript"/>
        <sz val="13"/>
        <color theme="1"/>
        <rFont val="Calibri"/>
        <family val="2"/>
        <scheme val="minor"/>
      </rPr>
      <t>[1]</t>
    </r>
  </si>
  <si>
    <r>
      <t xml:space="preserve">8.5 Sverige </t>
    </r>
    <r>
      <rPr>
        <vertAlign val="superscript"/>
        <sz val="13"/>
        <color theme="1"/>
        <rFont val="Calibri"/>
        <family val="2"/>
        <scheme val="minor"/>
      </rPr>
      <t>[1]</t>
    </r>
  </si>
  <si>
    <r>
      <t>Huvudbrott - procent</t>
    </r>
    <r>
      <rPr>
        <sz val="10"/>
        <color theme="1"/>
        <rFont val="Calibri"/>
        <family val="2"/>
        <scheme val="minor"/>
      </rPr>
      <t>[1]</t>
    </r>
  </si>
  <si>
    <r>
      <t xml:space="preserve">Genomsnittligt antal utdömda månader för fängelsestraff </t>
    </r>
    <r>
      <rPr>
        <b/>
        <vertAlign val="superscript"/>
        <sz val="13"/>
        <color theme="1"/>
        <rFont val="Calibri"/>
        <family val="2"/>
        <scheme val="minor"/>
      </rPr>
      <t>[1]</t>
    </r>
  </si>
  <si>
    <t>[1] Tillsynen sköts av fängelsepersonal.</t>
  </si>
  <si>
    <t>utsluss med elektronisk kontroll [1]</t>
  </si>
  <si>
    <t>övriga [2]</t>
  </si>
  <si>
    <t>samhällstjänst [1]</t>
  </si>
  <si>
    <t>övriga inskrivna [2]</t>
  </si>
  <si>
    <t xml:space="preserve">[1] Mätning två gånger per månad. Inskrivna som är olovligen frånvarande (ca. 50 personer) ingår i mätningen. </t>
  </si>
  <si>
    <t>häktade [2]</t>
  </si>
  <si>
    <t>[1] Mätning varje dag</t>
  </si>
  <si>
    <t>[2] Inskrivna på ett privat "halfway house".</t>
  </si>
  <si>
    <t>[2] Häktade enligt utlänningslagen ingår.</t>
  </si>
  <si>
    <t>utsluss med elektronisk kontroll [2]</t>
  </si>
  <si>
    <t>övriga [3]</t>
  </si>
  <si>
    <t xml:space="preserve">[3] Åtalsunderlåtelse med övervakning. </t>
  </si>
  <si>
    <t>[1] Den 1 september. I fängelsedömda ingår inte frånvarande på grund av att uppgifter saknas för dessa.</t>
  </si>
  <si>
    <r>
      <t xml:space="preserve">Öppna anstaltsenheter </t>
    </r>
    <r>
      <rPr>
        <sz val="10"/>
        <color theme="1"/>
        <rFont val="Calibri"/>
        <family val="2"/>
        <scheme val="minor"/>
      </rPr>
      <t>[1]</t>
    </r>
  </si>
  <si>
    <r>
      <t xml:space="preserve">Slutna anstaltsenheter </t>
    </r>
    <r>
      <rPr>
        <sz val="10"/>
        <color theme="1"/>
        <rFont val="Calibri"/>
        <family val="2"/>
        <scheme val="minor"/>
      </rPr>
      <t>[2]</t>
    </r>
  </si>
  <si>
    <r>
      <t xml:space="preserve">8.1 Danmark </t>
    </r>
    <r>
      <rPr>
        <vertAlign val="superscript"/>
        <sz val="13"/>
        <color theme="1"/>
        <rFont val="Calibri"/>
        <family val="2"/>
        <scheme val="minor"/>
      </rPr>
      <t>[1]</t>
    </r>
  </si>
  <si>
    <t>[1] Mätning 2 gånger per månad.</t>
  </si>
  <si>
    <t>[2] I Finland bedrivs häktesverksamhet på vissa av de slutna anstalterna.</t>
  </si>
  <si>
    <r>
      <t xml:space="preserve">8.2 Finland </t>
    </r>
    <r>
      <rPr>
        <vertAlign val="superscript"/>
        <sz val="13"/>
        <color theme="1"/>
        <rFont val="Calibri"/>
        <family val="2"/>
        <scheme val="minor"/>
      </rPr>
      <t>[1]</t>
    </r>
  </si>
  <si>
    <r>
      <t xml:space="preserve">Häkten </t>
    </r>
    <r>
      <rPr>
        <sz val="10"/>
        <color theme="1"/>
        <rFont val="Calibri"/>
        <family val="2"/>
        <scheme val="minor"/>
      </rPr>
      <t>[2]</t>
    </r>
  </si>
  <si>
    <t>[1] Mätning varje dag.</t>
  </si>
  <si>
    <r>
      <t xml:space="preserve">8.3 Island </t>
    </r>
    <r>
      <rPr>
        <vertAlign val="superscript"/>
        <sz val="13"/>
        <color theme="1"/>
        <rFont val="Calibri"/>
        <family val="2"/>
        <scheme val="minor"/>
      </rPr>
      <t>[1]</t>
    </r>
  </si>
  <si>
    <t>beläggning [2]</t>
  </si>
  <si>
    <t>[2] "Overgangsboliger" är medräknade i öppna anstalter.</t>
  </si>
  <si>
    <r>
      <t xml:space="preserve">8.4 Norge </t>
    </r>
    <r>
      <rPr>
        <vertAlign val="superscript"/>
        <sz val="13"/>
        <color theme="1"/>
        <rFont val="Calibri"/>
        <family val="2"/>
        <scheme val="minor"/>
      </rPr>
      <t>[1]</t>
    </r>
  </si>
  <si>
    <t>antal platser [2]</t>
  </si>
  <si>
    <r>
      <t xml:space="preserve">9.2 Finland </t>
    </r>
    <r>
      <rPr>
        <vertAlign val="superscript"/>
        <sz val="13"/>
        <color theme="1"/>
        <rFont val="Calibri"/>
        <family val="2"/>
        <scheme val="minor"/>
      </rPr>
      <t>[1]</t>
    </r>
  </si>
  <si>
    <r>
      <t xml:space="preserve">Anstalter och häkten </t>
    </r>
    <r>
      <rPr>
        <sz val="10"/>
        <color theme="1"/>
        <rFont val="Calibri"/>
        <family val="2"/>
        <scheme val="minor"/>
      </rPr>
      <t>[2]</t>
    </r>
  </si>
  <si>
    <r>
      <t xml:space="preserve">Huvudbrott - procent </t>
    </r>
    <r>
      <rPr>
        <sz val="10"/>
        <color theme="1"/>
        <rFont val="Calibri"/>
        <family val="2"/>
        <scheme val="minor"/>
      </rPr>
      <t>[1]</t>
    </r>
  </si>
  <si>
    <t>10.4 Norge</t>
  </si>
  <si>
    <t>central administration. Siffran för 2014 är inte jämförbar med senare år, detta då siffran för anstalter och häkten utgår ifrån faktisk arbetad tid samt att transportverksamheten ingår. Från och med år 2015</t>
  </si>
  <si>
    <t xml:space="preserve">Personal per 100 intagna </t>
  </si>
  <si>
    <t>[2] Inkluderar från och med 2015 fängelset Norgerhaven (242 platser) som hyrs i Nederländerna (Holland). Hyresavtalet gick ut den 1. september 2018.</t>
  </si>
  <si>
    <r>
      <t xml:space="preserve">Återfall i brott inom två år efter avgång från anstalt </t>
    </r>
    <r>
      <rPr>
        <vertAlign val="superscript"/>
        <sz val="13"/>
        <color theme="1"/>
        <rFont val="Calibri"/>
        <family val="2"/>
        <scheme val="minor"/>
      </rPr>
      <t>[1]</t>
    </r>
  </si>
  <si>
    <t>.</t>
  </si>
  <si>
    <t>Dömda till fängelse en bestämd dag</t>
  </si>
  <si>
    <r>
      <t xml:space="preserve">Dömda till fängelse en bestämd dag </t>
    </r>
    <r>
      <rPr>
        <sz val="10"/>
        <color theme="1"/>
        <rFont val="Calibri"/>
        <family val="2"/>
        <scheme val="minor"/>
      </rPr>
      <t>[1]</t>
    </r>
  </si>
  <si>
    <t xml:space="preserve">Personer dömda till fängelse som avtjänar straff i eller utanför anstalt, eller i häkte. Elektronisk kontroll och utsluss med elektronisk kontroll ("back door") är inte inkluderad. </t>
  </si>
  <si>
    <t>Ett alternativt sätt att verkställa ett utdömt fängelsestraff är användning av s.k. fotboja (intensivövervakning). För att kunna avtjäna med fotboja skall den dömde ha egen bostad, arbete eller delta i utbildning. Det krävs också medgivande från samboende. Klienter med fotboja har förbud att vistas utanför bostaden annat än på särskilt angivna tider och för särskilda ändamål, som t.ex. arbete eller inköp. Efterlevnaden av förbudet kontrolleras med elektronisk utrustning. Det är även förbjudet att använda alkohol eller droger. Elektronisk kontroll kan även avtjänas i form av utsluss ("back door")</t>
  </si>
  <si>
    <t>Dömda till fängelse uppdelat på kön och huvudbrott - en bestämd dag i procent</t>
  </si>
  <si>
    <t>[1] Den 1 september. Fängelsedömda inkluderar frånvarande.</t>
  </si>
  <si>
    <t>[1] Den 1 oktober. Fängelsedömda inkluderar frånvarande.</t>
  </si>
  <si>
    <t>[1] Den 1 september. Fängelsedömda inkluderar frånvarande. Bötesfångar ingår inte.</t>
  </si>
  <si>
    <t>Antal återfall i brott [1]</t>
  </si>
  <si>
    <t>Bötestjänst innebär att avtjäna med samhällstjänst för de som inte kan betala sin böter.</t>
  </si>
  <si>
    <t>Kriminalomsorgens transporttjänst ingår i personal på anstalter från och med 2015.</t>
  </si>
  <si>
    <t>De klienter som får en tidsbestämd villkorlig dom till fängelse. I Danmark kan det även förekomma att det inte är fastställt något tidsbestämt straff i den villkorliga domen. Under en viss prövotid kan domen omvandlas till fängelse om nya brott begås eller vid misskötsamhet. En villkorlig dom till fängelse kan i vissa fall kombineras med övervakning och i Norge är detta alltid fallet. I Danmark, Island och Norge kan även villkor om narkotika- och alkoholbehandling förekomma. I Finland gällde övervakning av villkorligt fängelse fram till år 2020 endast gärningsmän under 21 år. Från och med ingången av 2020 utvidgades arrangemanget till att omfatta även vuxna.</t>
  </si>
  <si>
    <t>Totalt  [3]</t>
  </si>
  <si>
    <t>[1] Årsarbetskrafter.</t>
  </si>
  <si>
    <t>[2] Siffran inkluderar inte lärare för intagna, lärare för personal och sjukvårdspersonal.</t>
  </si>
  <si>
    <t>I Sverige räknas klienten som livstidsdömd fram till dess straffet blivit tidsbestämt av domstol (från november 2006) eller beviljats nåd. En livstidsdömd kan ansöka om tidsbestämning när 10 år av straffet har avtjänats. Tiden kan inte bestämmas till kortare än 18 år. I Finland kan domstolen från den 1 oktober 2006 avgöra om den dömde ska friges villkorligt när 12 år av straffet har avtjänats. Om den dömde vid brottstillfället var under 21 år gäller istället 10 år. Frigivning kan också ske genom benådning. Ingen i Island är livstidsdömd, men straffet finns i isländsk lagstiftning. Norge har inte livstidsstraff.</t>
  </si>
  <si>
    <t>I Island och Norge räknas personen då i kategorin bötesförvandling. I Island kan personer som är dömda till böter överstigande ungefär € 670 (100 000 isländska kronor) och inte betalar, också få avtjäna samhällstjänst. I Norge pågår ett liknande försök med samhällstjänst för de som inte betalar.</t>
  </si>
  <si>
    <t>[1]  Fr.o.m. 2015 redovisas årsarbetskrafter utifrån verksamhetsgren, transportverksamhet och administration.</t>
  </si>
  <si>
    <t xml:space="preserve">[3] Enheter som har både öppna och slutna platser blir placerat efter vad det är flest av. </t>
  </si>
  <si>
    <t xml:space="preserve">Ökningen från 2015 till 2016 beror främst på att ca. 95 uniformerade chefer och ledare, som tidigare ingick i gruppen </t>
  </si>
  <si>
    <t>uniformerad personal (föreståndare och arbetsledare), är registrerade som 'ledning' till följd av en ny lednings- och institutionsstruktur som trädde i kraft 2016.</t>
  </si>
  <si>
    <t>[1] "Overgangsboliger" är medräknade i öppna anstaltsenheter.</t>
  </si>
  <si>
    <t xml:space="preserve">[2] År 2021 utgör narkotikaprogram med domstolskontroll (350), avtjänande i hemmet med särskilda villkor (9), bötestjänst (173) och tillsyn av frigivna från förvaring (32). </t>
  </si>
  <si>
    <t xml:space="preserve">Antal återfall i brott </t>
  </si>
  <si>
    <t xml:space="preserve">[2] Ungdomsövervakning är en ny påföljd i Sverige från och med år 2021. De som kan dömas till ungdomsövervakning är unga, i huvudsak personer mellan 15 och 17 år, som har begått ett </t>
  </si>
  <si>
    <t xml:space="preserve">allvarligt brott eller som har upprepad brottslighet. Det är domstolen som bestämmer längden på ungdomsövervakningen, vilken är som lägst sex månader och högst ett år. </t>
  </si>
  <si>
    <t>[2] Utsluss med elektronisk kontroll ingår i tabell 3.5.</t>
  </si>
  <si>
    <t>dömda till fängelse [2]</t>
  </si>
  <si>
    <t>övriga inskrivna [3]</t>
  </si>
  <si>
    <t>I platser ingår även platser som används för dubbelbeläggning och tillfälligt använda platser.</t>
  </si>
  <si>
    <t xml:space="preserve">[5] Fr.o.m. år 2015 redovisas transportverksamheten, Nationella transportenheten (NTE) separat. Ökningen för NTE beror främst på nytt uppdrag för transportorganisationen, som bland annat innebär </t>
  </si>
  <si>
    <r>
      <t xml:space="preserve">Nationella transportenheten </t>
    </r>
    <r>
      <rPr>
        <sz val="10"/>
        <color theme="1"/>
        <rFont val="Calibri"/>
        <family val="2"/>
        <scheme val="minor"/>
      </rPr>
      <t>[5]</t>
    </r>
  </si>
  <si>
    <r>
      <t xml:space="preserve">Frivården </t>
    </r>
    <r>
      <rPr>
        <sz val="10"/>
        <color theme="1"/>
        <rFont val="Calibri"/>
        <family val="2"/>
        <scheme val="minor"/>
      </rPr>
      <t>[4]</t>
    </r>
  </si>
  <si>
    <t>[2] Ny central organisation fr.o.m. 2015. I denna siffra ingår huvudkontoret samt regionkontoren. Kriminalvårdens servicecenter blev från och med oktober 2019 en del av huvudkontoret efter att tidigare varit en självständig</t>
  </si>
  <si>
    <t>redovisas istället den totala personalresursen. Ökningen från och med år 2020 för anstalter och häkten beror på fler klienter vilket lett till kapacitetsökningen med nya platser och dubbelbeläggning samt den höga beläggningen.</t>
  </si>
  <si>
    <t>Folkmängden avser antal invånare i början av respektive år:</t>
  </si>
  <si>
    <t xml:space="preserve">[2] I Island finns inte särskilda häkten men i Fängelset Holmsheidi är en avdelning för häktade (4 celler nu primärt till häktade). Häktesklienter som inte är isolerade </t>
  </si>
  <si>
    <t>kan vistas tillsammans med andra intagna på sluten eller öppen anstalt.</t>
  </si>
  <si>
    <r>
      <rPr>
        <sz val="10"/>
        <color theme="1"/>
        <rFont val="Calibri"/>
        <family val="2"/>
        <scheme val="minor"/>
      </rPr>
      <t xml:space="preserve">[1] </t>
    </r>
    <r>
      <rPr>
        <i/>
        <sz val="10"/>
        <color theme="1"/>
        <rFont val="Calibri"/>
        <family val="2"/>
        <scheme val="minor"/>
      </rPr>
      <t xml:space="preserve">Siffran inkluderar inte lärare för intagna (ca 280), lärare på kriminalvårdens utbildningscenter (ca 61), personer som utbildas till vårdare och vårdare i praktik (år 2020 ca 285) samt </t>
    </r>
  </si>
  <si>
    <r>
      <t xml:space="preserve">Anstalter och häkten </t>
    </r>
    <r>
      <rPr>
        <sz val="10"/>
        <color theme="1"/>
        <rFont val="Calibri"/>
        <family val="2"/>
        <scheme val="minor"/>
      </rPr>
      <t>[1]</t>
    </r>
  </si>
  <si>
    <t>Norge införde elektronisk övervakning fr.o.m. 2008 och gällde i hela landet 2014. Från och med april 2020 är målgruppen de som är dömda till ett fängelsestraff på till och med sex månader (tidigare fyra månader) eller som har sex månader (tidigare fyra månader) kvar att avtjäna.</t>
  </si>
  <si>
    <t>1 oktober 2011 introducerade Island elektronisk kontroll vid utslussning. När det utdömda fängelsestraffet är 12 månader eller mer kan en klient avsluta straffet utanför anstalt genom elektronisk kontroll. Vid 12 månaders fängelse kan elektronisk kontroll vara i 60 dagar (tidigare 30 dagar från 1 oktober 2011 till 30 mars 2016). Sedan kan det förlängas med 5 (tidigare 2,5) dagar för varje utdömd månad. Maximalt kan det vara i 360 (tidigare 240) dagar. Tillsynen sköts av fängelsepersonal men klienterna ingår inte i beläggningen för fängelsedömda utan de inkluderas under kriminalvården i frihet då de inte befinner sig innanför murarna.</t>
  </si>
  <si>
    <t>kategorierna större än summan av medelantal inskrivna frivårdsklienter.</t>
  </si>
  <si>
    <t xml:space="preserve">[3] Ungdomsövervakning är en ny påföljd i Sverige från och med år 2021. De som kan dömas till ungdomsövervakning är unga, i huvudsak personer mellan 15 och 17 år, som har begått ett </t>
  </si>
  <si>
    <t xml:space="preserve">[1] Mätning varje dag. I Danmark finns dessutom ett antal s.k. 'udslusningsfængsler' som huvudsakligen används för klienter under övervakning samt dömda som utplaceras </t>
  </si>
  <si>
    <t>[2] Sista kvartalet 2018 upprättades en nationell transportenhet.</t>
  </si>
  <si>
    <r>
      <t xml:space="preserve">Nationella transportenheten </t>
    </r>
    <r>
      <rPr>
        <sz val="10"/>
        <color theme="1"/>
        <rFont val="Calibri"/>
        <family val="2"/>
        <scheme val="minor"/>
      </rPr>
      <t>[2]</t>
    </r>
  </si>
  <si>
    <t>9.1 Danmark</t>
  </si>
  <si>
    <t xml:space="preserve">största enhet </t>
  </si>
  <si>
    <t>enhet inom den centrala organisationen. Fr.o.m. 2016 genomslag för den nya organisationen där det skett en medveten centralisering. Ökning har främst skett inom rekrytering, personalutbildning, bemanning och IT.</t>
  </si>
  <si>
    <t>För jämförbarhet med tidligare år har en upparbetning av centraladministrationen genomförts, så personal i kategorien ”fællesudgifter” är medtaget i alla ärenden.</t>
  </si>
  <si>
    <t>[1] Siffrorna inkluderar personal från kriminalforsorgens områdekontor.</t>
  </si>
  <si>
    <t xml:space="preserve">Danmark har år 2022 ändrat uppföljningen av personal anställda i centraladministrationen, 2016-2022 var det inte möjligt att exkludera personal i kategorien ”fællesudgifter” (gemensamma utgifter). </t>
  </si>
  <si>
    <t>Efter organisationsreformen september 2022 innefattar siffran ansvarsområdena för utveckling och styrning respektive förvaltning och stödtjänster samt de mindre fristående enheterna</t>
  </si>
  <si>
    <t>(kommunikationsenheten, enheten för internationella ärenden, enheten för intern revision). Personalen vid Brottspåföljdsområdets utbildningscentral ingår i siffran fr.o.m. 2022.</t>
  </si>
  <si>
    <t>och begränsningarna i verkställigheten införda på grund coronaviruspandemin.</t>
  </si>
  <si>
    <t xml:space="preserve">[1] Frigivna med ogiltiga personnummer ingår inte och 2016 var det 96. Nedgången i antalet återfall 2020 torde ha påverkats av eftersattheten i domstolarna </t>
  </si>
  <si>
    <t xml:space="preserve">[1] Mätning 1 gång per månad. Det genomsnittliga antalet frivårdsklienter har räknats på ett nytt sätt från och med år 2022. Enligt den nuvarande definitionen betraktas de som klienter både 
</t>
  </si>
  <si>
    <t>verkställighetsfasen och 
klienter vars verkställighet är avbruten. Uppgifterna för 2022 är därför inte jämförbara med tidigare år.</t>
  </si>
  <si>
    <t>övriga [4]</t>
  </si>
  <si>
    <t>utsluss med elektronisk kontroll [3]</t>
  </si>
  <si>
    <t>[3] Ändringen av beräkningsmetoden år 2022 gäller inte för utsluss med elektronisk kontroll.</t>
  </si>
  <si>
    <t>[2] Från och med år 2022 ingår även förberedelsefasen, vilket är med och förklarar nivåökningen år 2022.</t>
  </si>
  <si>
    <t xml:space="preserve"> elektronisk kontroll (intensivövervakning) [2]</t>
  </si>
  <si>
    <t xml:space="preserve">[2] Siffrorna omfattar personalen vid centralförvaltningsenheten och regioncentra. </t>
  </si>
  <si>
    <t>[3] Siffran inkluderar endast personal som är anställda av kriminalvården. Från och med 2016 har kriminalvården inte någon anställd sjukvårdpersonal.</t>
  </si>
  <si>
    <r>
      <t>Central administration</t>
    </r>
    <r>
      <rPr>
        <sz val="10"/>
        <color theme="1"/>
        <rFont val="Calibri"/>
        <family val="2"/>
        <scheme val="minor"/>
      </rPr>
      <t xml:space="preserve"> [2]</t>
    </r>
  </si>
  <si>
    <r>
      <t xml:space="preserve">9.3 Island </t>
    </r>
    <r>
      <rPr>
        <vertAlign val="superscript"/>
        <sz val="13"/>
        <color theme="1"/>
        <rFont val="Calibri"/>
        <family val="2"/>
        <scheme val="minor"/>
      </rPr>
      <t>[1]</t>
    </r>
  </si>
  <si>
    <r>
      <t xml:space="preserve">Central administration </t>
    </r>
    <r>
      <rPr>
        <sz val="10"/>
        <color theme="1"/>
        <rFont val="Calibri"/>
        <family val="2"/>
        <scheme val="minor"/>
      </rPr>
      <t>[1]</t>
    </r>
  </si>
  <si>
    <t>Personal som sköter tillsynen för elektronisk kontroll vid utsluss ingår till och med 2021.</t>
  </si>
  <si>
    <t>[4] Siffran inkluderar personal som sköter tillsynen för elektronisk kontroll vid utsluss fr.o.m. 2022.</t>
  </si>
  <si>
    <t>när de befinner sig i det förberedande skedet av verkställigheten och när de befinner sig i verkställighetsfasen av påföljden. Till och med år 2021 ingår klienter som befinner sig i</t>
  </si>
  <si>
    <t xml:space="preserve">I Finland finns elektronisk kontroll sedan 1 oktober 2006 som utslussning (”övervakad frihet på prov”). Klienterna inkluderas under kriminalvården i frihet och det gäller även för personalen från och med år 2022. Till och med år 2021 ingår istället personalen under anstalt. Från 2011 har domstolen i Finland haft möjlighet att döma till fotboja för verkställighet av straff för personer med en dom på upp till 6 månader (om det t.ex. är problem av social karaktär som medför att samhällstjänst inte kan användas). Från början av 2018 kan ett kombinationsstraff dömas ut till dem som återfaller till allvarliga brott och som anses vara synnerligen farliga för annans liv, hälsa eller frihet. Kombinationsstraff består av en fängelsetid och av en övervakningstid på ett år. Övervakning genomförs med hjälp av tekniska anordningar. </t>
  </si>
  <si>
    <r>
      <t xml:space="preserve">Häktesenheter </t>
    </r>
    <r>
      <rPr>
        <sz val="10"/>
        <color theme="1"/>
        <rFont val="Calibri"/>
        <family val="2"/>
        <scheme val="minor"/>
      </rPr>
      <t>[1]</t>
    </r>
  </si>
  <si>
    <t>I Danmark kan elektronisk övervakning, sedan maj 2013, ges då den dömde har ett fängelsestraff på upp till sex månader. Innan ändringen var det upp till fem månader. Den 1 juli 2013 infördes utsluss med elektronisk kontroll i Danmark. Utsluss kan sedan juli 2022 ges då den dömde har upp till 8 månader kvar att avtjäna, innan ändringen var det upp till 6 månader.</t>
  </si>
  <si>
    <t>Polisreformen som genomfördes 2017 antas ha påverkat återfallet efterföljande år och återfallet 2020 kan även ha påverkats av COVID-19 pandemin.</t>
  </si>
  <si>
    <t>Finns endast i Sverige. En skyddstillsyn innebär att klienten får en prövotid på tre år och står under övervakning den tiden. Efter ett år sker en prövning där frivården beslutar om övervakningen ska upphöra eller inte. Lagstiftningen kring skyddstillsyn förändrades i maj 2021 och enligt tidigare lagstiftning upphörde övervakningen automatiskt efter normalt ett år. Villkor om missbruksvård m.m. kan förekomma.</t>
  </si>
  <si>
    <t>[1] Från och med 2017 sker mätning varje dag. Till och med 2016 mätning 1 gång per månad.</t>
  </si>
  <si>
    <t>[1] Mätning 1 gång per månad (därav utsluss med EK mätning varje dag).</t>
  </si>
  <si>
    <t>[2] Tillsynen sköts av fängelsepersonal (mätning varje dag).</t>
  </si>
  <si>
    <t xml:space="preserve"> </t>
  </si>
  <si>
    <t>[1]  Inkluderar häktesavdelningar på fängelse.</t>
  </si>
  <si>
    <t xml:space="preserve">7.1 Danmark </t>
  </si>
  <si>
    <t>antal enheter [1]</t>
  </si>
  <si>
    <t>[1] I Island finns inte särskilda häkten men i Fängelset Holmsheidi (sluten anstaltsenhet) är en avdelning för häktade (4 celler primärt till häktade)</t>
  </si>
  <si>
    <t xml:space="preserve">7.5 Sverige </t>
  </si>
  <si>
    <t>[3] En sluten anstalt stängdes 2020.</t>
  </si>
  <si>
    <t>[1] Mätning varje dag. Ny definition för anstalt från och med år 2017 och för häkte från och med år 2019. Häkte har för år 2017-2018 skattats utifrån den definition som användes till och med år 2016.</t>
  </si>
  <si>
    <t>sjukvårdspersonal (år 2017 ca 120) och bibliotekarier (år 2017 ca 20). Från och med 2015 ingår norska kriminalvårdens transporttjänst (år 2020 ca 51).</t>
  </si>
  <si>
    <t xml:space="preserve">[1] Frigivna med ogiltiga personnummer ingår inte och 2016 var det 998. Siffrorna för 2012 - 2020 baseras på datumet för återfall i den nya domen. </t>
  </si>
  <si>
    <t xml:space="preserve">11.4 Norge </t>
  </si>
  <si>
    <t>Antal klienter som avgått från anstalt [1]</t>
  </si>
  <si>
    <t>1.1 Danmark</t>
  </si>
  <si>
    <t xml:space="preserve">[2] I Finland var dessutom 80 (2014), 85 (2015) , 81 (2016), 73 (2017), 69 (2018), 41 (2019), 32 (2020), 25 (2021), 19 (2022) och 28 (2023) häktade på polisarrest. </t>
  </si>
  <si>
    <t>[1] Uppgifterna fr.o.m. 2022 är inte jämförbara med tidigare år.</t>
  </si>
  <si>
    <t>På senare år har fastighetsavdelningen, rättsavdelningen och säkerhetsavdelningen ökat på grund av lagförändringar och kapacitetsökning.</t>
  </si>
  <si>
    <t>I Danmark är både lärare och sjukvårdspersonal anställda inom kriminalvården. Sjuk­vårdspersonalen och lärarna är inte anställda inom kriminalvården i Finland. I Island och Norge är bibliotekarier, lärare och sjukvårdspersonal inte anställda inom kriminalvården. I Island är kökspersonal inte anställd av kriminalvården med undantag för ett fängelse.</t>
  </si>
  <si>
    <t>[1] Den 1 september, fr.o.m. år 2022 den 1 maj. Fängelsedömda inkluderar frånvarande. Bötesfångar ingår inte.</t>
  </si>
  <si>
    <t xml:space="preserve"> I Danmark kombineras samhällstjänst med övervakning. I Sverige kombineras samhällstjänst också med övervakning i form av skyddstillsyn. I Sverige finns också påföljden villkorlig dom med föreskrift om samhällstjänst. Den som döms till denna påföljd står inte under övervakning. I Island kan kriminalvårdstyrelsen besluta om samhällstjänst när den dömda har en ovillkorlig dom på högst 24 månader (från 10 juli 2021), tidigare 12 månader (från 30 mars 2016). Personer som är dömda till böter och inte betalar, kan också få avtjäna samhällstjänst. I Norge pågår ett liknande försök där de som inte betalar utför samhällsnyttigt arbete.</t>
  </si>
  <si>
    <t>villkorlig dom för trafikbrott med alkohol- och drogbehandling</t>
  </si>
  <si>
    <t>Villkorlig dom för trafikbrott med alkohol- och drogbehandling</t>
  </si>
  <si>
    <t>I Danmark är övervakning med behandling av alkoholproblem eller narkotikaproblem ett villkorligt fängelsestraff som kan föreläggas den dömde.</t>
  </si>
  <si>
    <t>[1] Mätning varje dag. Frånvarande ingår i mätningen.</t>
  </si>
  <si>
    <t xml:space="preserve">[2] Till största delen förvartagna enligt utlänningslagen. Frihetsberövade asylansökande placerade på kriminalvårdens asylplatser ingår inte. </t>
  </si>
  <si>
    <t>2.1 Danmark</t>
  </si>
  <si>
    <t>[1] Mätning 1 gång per månad.</t>
  </si>
  <si>
    <t xml:space="preserve">[2] År 2020 ändrade Danmark enheten från antal personer till antal ärenden inom varje frivårdskategori. Eftersom en person kan vara aktuell inom flera frivårdskategorier är summan av </t>
  </si>
  <si>
    <t>[3] Tillsyn under behandlingsbestämt avtjänande av straff, sexualbrottsdömda i behandling och vid åtalsunderlåtelse.</t>
  </si>
  <si>
    <t>3.1 Danmark</t>
  </si>
  <si>
    <t>därav [2]</t>
  </si>
  <si>
    <t>*foreløpig tall</t>
  </si>
  <si>
    <t>[2] Ungdomsstraff (8), övervakning av kombinationsstraff ingår (5), särredovisas inte här.</t>
  </si>
  <si>
    <t>[4] Ungdomsstraff (10) och övervakning av kombinationsstraff (6) ingår, särredovisas inte här.</t>
  </si>
  <si>
    <t>där när de verkställer ett frihetsstraff. Under 2024 fanns det i genomsnitt 213 platser på udslusningsfængslerne, och i genomsnitt fanns 191 klienter där.</t>
  </si>
  <si>
    <t>övriga [1]</t>
  </si>
  <si>
    <t>[1] Tillsyn under behandlingsbestämt avtjänande av straff, sexualbrottsdömda i behandling och vid åtalsunderlåtelse.</t>
  </si>
  <si>
    <t xml:space="preserve">[3] År 2014 var andelen inskrivna enligt utlänningslagen 45 procent av denna grupp, år 2024 utgjorde den 61 procent. </t>
  </si>
  <si>
    <t>Siffran inkluderar personalutbildare, det vill säga lärare för personal under utbildning (ca 130).</t>
  </si>
  <si>
    <t>[4] Ökningen fr.o.m. 2021 är direkt relaterad till lagstiftningsförändringar som har ökat klientvolymerna inom frivården. På senare år påverkar även ett snabbt ökande ungdomsuppdrag och riktade insatser för att öka antalet klienter som erbjuds särskilda utslussningsåtgärder.</t>
  </si>
  <si>
    <t>ett övertagande av transporter från andra myndigheter. På senare år påverkar även kapacitetsökningen samt behov av att förflytta klienter på grund av platsbristen.</t>
  </si>
  <si>
    <t xml:space="preserve">[3] Siffran inkluderar kriminalvårdare under utbildning (vilket har ökat kraftigt från ca 290 år 2021 till ca 860 är 2024), lärare för intagna (ca 130), sjukvårdspersonal (ca 200). Lärare för personal under utbildning ingår fr.o.m. 2015 i </t>
  </si>
  <si>
    <t>[1] Ovillkorligt fängelsestraff och fängelsestraff istället för obetalda böter som omvandlats till samhällstjänst (därav böter omvandlade till samhällstjänst 127 (2014), 139 (2015), 143 (2016), 101 (2017), 148 (2018), 156 (2019), 101 (2020), 144 (2021), 94 (2022), 33 (2023), 57 (2024))</t>
  </si>
  <si>
    <r>
      <t>Island</t>
    </r>
    <r>
      <rPr>
        <b/>
        <vertAlign val="superscript"/>
        <sz val="14"/>
        <color theme="1"/>
        <rFont val="Calibri"/>
        <family val="2"/>
        <scheme val="minor"/>
      </rPr>
      <t xml:space="preserve"> </t>
    </r>
    <r>
      <rPr>
        <vertAlign val="superscript"/>
        <sz val="14"/>
        <color theme="1"/>
        <rFont val="Calibri"/>
        <family val="2"/>
        <scheme val="minor"/>
      </rPr>
      <t>[1]</t>
    </r>
  </si>
  <si>
    <t>[1] I mars 2024 reviderades metoden för beräkning av folkmängden och siffrorna korrigerades från och med 2011 (2014 i denna tabell).</t>
  </si>
  <si>
    <t>Avser de personer som har dött eller tagit sitt liv inne på anstalten eller inne på häktet. När den intagna skadat sig själv inne på anstalten eller häktet och senare dör av skadan utanför anstalten eller häktet, t.ex. på sjukhus, räknas inte detta som självmord i fängelse respektive häkte.</t>
  </si>
  <si>
    <t>Avser i Danmark Direktoratet for Kriminalforsorgen och från 2015 också fyra nyetablerade områdeskontor som från och med 2024 har omorganiserats till två områdeskontor, i Finland Brottspåföljdsmyndighetens centralförvaltningsenhet och tre regioncentrum och från och med organisationsreformen september 2022 ansvarsområdena för utveckling och styrning respektive förvaltning och stödtjänster, i Norge Kriminal-omsorgsdirektoratet och de regionala kontoren, i Sverige Kriminalvårdens huvudkontor och de regionala kontoren (Kriminalvårdens servicecenter blev från och med oktober 2019 en del av huvudkontoret efter att från och med 2015 varit en självständig enhet inom den centrala organisationen) och i Island den islandska kriminalvårdstyrelsen ("Fangelsismálastofnun ríkisins").</t>
  </si>
  <si>
    <t>[1] Korrigerad siffar för år 2017.</t>
  </si>
  <si>
    <t>Antal självmord [1]</t>
  </si>
  <si>
    <t>[1] Korrigerade siffror för år 2014 och 2017-2019..</t>
  </si>
  <si>
    <t xml:space="preserve">[1] Korrigerade siffror för år 2014-2023. Övriga dödsfall visar totalt antal dödsfall i anstalt. Självmord ingår i totalsiffran. </t>
  </si>
  <si>
    <r>
      <t>6.4 Norge</t>
    </r>
    <r>
      <rPr>
        <vertAlign val="superscript"/>
        <sz val="13"/>
        <color theme="1"/>
        <rFont val="Calibri"/>
        <family val="2"/>
        <scheme val="minor"/>
      </rPr>
      <t>[1]</t>
    </r>
  </si>
  <si>
    <r>
      <t>6.1 Danmark</t>
    </r>
    <r>
      <rPr>
        <vertAlign val="superscript"/>
        <sz val="13"/>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</si>
</sst>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
    <numFmt numFmtId="166" formatCode="_-* #,##0_-;\-* #,##0_-;_-* &quot;-&quot;??_-;_-@_-"/>
  </numFmts>
  <fonts count="5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6500"/>
      <name val="Arial"/>
      <family val="2"/>
    </font>
    <font>
      <sz val="10"/>
      <color theme="1"/>
      <name val="Calibri"/>
      <family val="2"/>
      <scheme val="minor"/>
    </font>
    <font>
      <b/>
      <sz val="11"/>
      <color theme="1"/>
      <name val="Calibri"/>
      <family val="2"/>
      <scheme val="minor"/>
    </font>
    <font>
      <b/>
      <sz val="14"/>
      <color theme="1"/>
      <name val="Calibri"/>
      <family val="2"/>
      <scheme val="minor"/>
    </font>
    <font>
      <i/>
      <sz val="10"/>
      <color theme="1"/>
      <name val="Calibri"/>
      <family val="2"/>
      <scheme val="minor"/>
    </font>
    <font>
      <sz val="10"/>
      <name val="Calibri"/>
      <family val="2"/>
      <scheme val="minor"/>
    </font>
    <font>
      <i/>
      <sz val="10"/>
      <name val="Calibri"/>
      <family val="2"/>
      <scheme val="minor"/>
    </font>
    <font>
      <sz val="8"/>
      <name val="Arial"/>
      <family val="2"/>
    </font>
    <font>
      <sz val="10"/>
      <color indexed="10"/>
      <name val="Calibri"/>
      <family val="2"/>
      <scheme val="minor"/>
    </font>
    <font>
      <b/>
      <sz val="10"/>
      <color theme="1"/>
      <name val="Calibri"/>
      <family val="2"/>
      <scheme val="minor"/>
    </font>
    <font>
      <b/>
      <i/>
      <sz val="10"/>
      <color theme="1"/>
      <name val="Calibri"/>
      <family val="2"/>
      <scheme val="minor"/>
    </font>
    <font>
      <b/>
      <i/>
      <sz val="10"/>
      <name val="Calibri"/>
      <family val="2"/>
      <scheme val="minor"/>
    </font>
    <font>
      <sz val="10"/>
      <color rgb="FF000000"/>
      <name val="Calibri"/>
      <family val="2"/>
      <scheme val="minor"/>
    </font>
    <font>
      <b/>
      <sz val="12"/>
      <color rgb="FF003D58"/>
      <name val="Arial"/>
      <family val="2"/>
    </font>
    <font>
      <sz val="12"/>
      <color theme="1"/>
      <name val="Garamond"/>
      <family val="1"/>
    </font>
    <font>
      <strike/>
      <sz val="12"/>
      <color theme="1"/>
      <name val="Garamond"/>
      <family val="1"/>
    </font>
    <font>
      <b/>
      <sz val="12"/>
      <color theme="1"/>
      <name val="Garamond"/>
      <family val="1"/>
    </font>
    <font>
      <u/>
      <sz val="12"/>
      <color theme="1"/>
      <name val="Garamond"/>
      <family val="1"/>
    </font>
    <font>
      <b/>
      <sz val="14"/>
      <color rgb="FF003D58"/>
      <name val="Arial"/>
      <family val="2"/>
    </font>
    <font>
      <u/>
      <sz val="11"/>
      <color theme="10"/>
      <name val="Arial"/>
      <family val="2"/>
    </font>
    <font>
      <sz val="11"/>
      <color theme="10"/>
      <name val="Calibri"/>
      <family val="2"/>
      <scheme val="minor"/>
    </font>
    <font>
      <vertAlign val="superscript"/>
      <sz val="13"/>
      <color theme="1"/>
      <name val="Calibri"/>
      <family val="2"/>
      <scheme val="minor"/>
    </font>
    <font>
      <b/>
      <vertAlign val="superscript"/>
      <sz val="13"/>
      <color theme="1"/>
      <name val="Calibri"/>
      <family val="2"/>
      <scheme val="minor"/>
    </font>
    <font>
      <sz val="10"/>
      <name val="Arial"/>
      <family val="2"/>
    </font>
    <font>
      <sz val="10"/>
      <color rgb="FFFF0000"/>
      <name val="Calibri"/>
      <family val="2"/>
      <scheme val="minor"/>
    </font>
    <font>
      <sz val="10"/>
      <name val="Calibri Light"/>
      <family val="2"/>
      <scheme val="major"/>
    </font>
    <font>
      <i/>
      <sz val="10"/>
      <name val="Calibri Light"/>
      <family val="2"/>
      <scheme val="major"/>
    </font>
    <font>
      <sz val="11"/>
      <name val="Calibri"/>
      <family val="2"/>
      <scheme val="minor"/>
    </font>
    <font>
      <sz val="11"/>
      <color rgb="FFFF0000"/>
      <name val="Calibri"/>
      <family val="2"/>
      <scheme val="minor"/>
    </font>
    <font>
      <sz val="9"/>
      <color theme="1"/>
      <name val="Calibri Light"/>
      <family val="2"/>
    </font>
    <font>
      <sz val="7"/>
      <color theme="1"/>
      <name val="Calibri Light"/>
      <family val="2"/>
    </font>
    <font>
      <sz val="12"/>
      <name val="Garamond"/>
      <family val="1"/>
    </font>
    <font>
      <b/>
      <sz val="10"/>
      <name val="Arial"/>
      <family val="2"/>
    </font>
    <font>
      <sz val="10"/>
      <name val="Calibri"/>
      <family val="2"/>
    </font>
    <font>
      <sz val="10"/>
      <color rgb="FF000000"/>
      <name val="Calibri"/>
      <family val="2"/>
    </font>
    <font>
      <i/>
      <sz val="10"/>
      <name val="Calibri"/>
      <family val="2"/>
    </font>
    <font>
      <sz val="10"/>
      <color rgb="FFFF0000"/>
      <name val="Calibri"/>
      <family val="2"/>
    </font>
    <font>
      <sz val="11"/>
      <color theme="1"/>
      <name val="Arial"/>
      <family val="2"/>
    </font>
    <font>
      <sz val="11"/>
      <color theme="1"/>
      <name val="Calibri"/>
      <family val="2"/>
    </font>
    <font>
      <sz val="11"/>
      <color theme="0"/>
      <name val="Calibri"/>
      <family val="2"/>
      <scheme val="minor"/>
    </font>
    <font>
      <sz val="11"/>
      <color rgb="FF000000"/>
      <name val="Calibri"/>
      <family val="2"/>
    </font>
    <font>
      <b/>
      <vertAlign val="superscript"/>
      <sz val="14"/>
      <color theme="1"/>
      <name val="Calibri"/>
      <family val="2"/>
      <scheme val="minor"/>
    </font>
    <font>
      <vertAlign val="superscript"/>
      <sz val="14"/>
      <color theme="1"/>
      <name val="Calibri"/>
      <family val="2"/>
      <scheme val="minor"/>
    </font>
  </fonts>
  <fills count="24">
    <fill>
      <patternFill patternType="none"/>
    </fill>
    <fill>
      <patternFill patternType="gray125"/>
    </fill>
    <fill>
      <patternFill patternType="solid">
        <fgColor rgb="FFFFEB9C"/>
        <bgColor indexed="64"/>
      </patternFill>
    </fill>
    <fill>
      <patternFill patternType="solid">
        <fgColor rgb="FFD9E2E6"/>
        <bgColor indexed="64"/>
      </patternFill>
    </fill>
    <fill>
      <patternFill patternType="solid">
        <fgColor theme="0"/>
        <bgColor indexed="64"/>
      </patternFill>
    </fill>
    <fill>
      <patternFill patternType="solid">
        <fgColor rgb="FFF2F2F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
    <border>
      <left/>
      <right/>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thin">
        <color rgb="FFB2B2B2"/>
      </right>
      <top/>
      <bottom/>
      <diagonal/>
    </border>
    <border>
      <left style="medium">
        <color auto="1"/>
      </left>
      <right style="medium">
        <color auto="1"/>
      </right>
      <top style="medium">
        <color auto="1"/>
      </top>
      <bottom/>
      <diagonal/>
    </border>
  </borders>
  <cellStyleXfs count="27">
    <xf numFmtId="0" fontId="0" fillId="0" borderId="0"/>
    <xf numFmtId="9" fontId="44" fillId="0" borderId="0" applyFont="0" applyFill="0" applyBorder="0" applyAlignment="0" applyProtection="0"/>
    <xf numFmtId="0" fontId="7" fillId="2" borderId="0" applyNumberFormat="0" applyBorder="0" applyAlignment="0" applyProtection="0"/>
    <xf numFmtId="0" fontId="26" fillId="0" borderId="0" applyNumberFormat="0" applyFill="0" applyBorder="0" applyAlignment="0" applyProtection="0"/>
    <xf numFmtId="0" fontId="30" fillId="0" borderId="0"/>
    <xf numFmtId="0" fontId="30" fillId="0" borderId="0"/>
    <xf numFmtId="43" fontId="44" fillId="0" borderId="0" applyFont="0" applyFill="0" applyBorder="0" applyAlignment="0" applyProtection="0"/>
    <xf numFmtId="9" fontId="44" fillId="0" borderId="0" applyFont="0" applyFill="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3" borderId="0" applyNumberFormat="0" applyBorder="0" applyAlignment="0" applyProtection="0"/>
    <xf numFmtId="0" fontId="47" fillId="0" borderId="0" applyBorder="0"/>
  </cellStyleXfs>
  <cellXfs count="170">
    <xf numFmtId="0" fontId="0" fillId="0" borderId="0" xfId="0"/>
    <xf numFmtId="0" fontId="6" fillId="0" borderId="0" xfId="0" applyFont="1"/>
    <xf numFmtId="0" fontId="8" fillId="0" borderId="0" xfId="0" applyFont="1"/>
    <xf numFmtId="0" fontId="6" fillId="0" borderId="0" xfId="0" applyFont="1" applyAlignment="1">
      <alignment horizontal="right"/>
    </xf>
    <xf numFmtId="0" fontId="10" fillId="0" borderId="0" xfId="0" applyFont="1"/>
    <xf numFmtId="0" fontId="8" fillId="0" borderId="0" xfId="0" applyFont="1" applyAlignment="1">
      <alignment horizontal="left" wrapText="1" indent="1"/>
    </xf>
    <xf numFmtId="0" fontId="11" fillId="0" borderId="0" xfId="0" applyFont="1" applyAlignment="1">
      <alignment horizontal="left" vertical="center" wrapText="1"/>
    </xf>
    <xf numFmtId="0" fontId="11" fillId="0" borderId="0" xfId="0" applyFont="1" applyAlignment="1">
      <alignment horizontal="left" vertical="center" wrapText="1" indent="1"/>
    </xf>
    <xf numFmtId="1" fontId="13" fillId="0" borderId="0" xfId="0" applyNumberFormat="1" applyFont="1"/>
    <xf numFmtId="3" fontId="8" fillId="0" borderId="0" xfId="0" applyNumberFormat="1" applyFont="1" applyProtection="1">
      <protection locked="0"/>
    </xf>
    <xf numFmtId="3" fontId="8" fillId="0" borderId="0" xfId="0" applyNumberFormat="1" applyFont="1"/>
    <xf numFmtId="0" fontId="8" fillId="0" borderId="0" xfId="0" applyFont="1" applyAlignment="1">
      <alignment horizontal="left" indent="1"/>
    </xf>
    <xf numFmtId="0" fontId="11" fillId="0" borderId="0" xfId="0" applyFont="1" applyAlignment="1">
      <alignment horizontal="left" indent="1"/>
    </xf>
    <xf numFmtId="0" fontId="11" fillId="0" borderId="0" xfId="0" applyFont="1" applyAlignment="1">
      <alignment horizontal="left" indent="2"/>
    </xf>
    <xf numFmtId="0" fontId="11" fillId="0" borderId="0" xfId="0" applyFont="1"/>
    <xf numFmtId="0" fontId="10" fillId="3" borderId="1" xfId="0" applyFont="1" applyFill="1" applyBorder="1"/>
    <xf numFmtId="0" fontId="9" fillId="3" borderId="1" xfId="0" applyFont="1" applyFill="1" applyBorder="1"/>
    <xf numFmtId="0" fontId="10" fillId="3" borderId="0" xfId="0" applyFont="1" applyFill="1"/>
    <xf numFmtId="3" fontId="8" fillId="0" borderId="0" xfId="0" applyNumberFormat="1" applyFont="1" applyAlignment="1">
      <alignment horizontal="right"/>
    </xf>
    <xf numFmtId="0" fontId="8" fillId="0" borderId="0" xfId="0" applyFont="1" applyAlignment="1">
      <alignment horizontal="right"/>
    </xf>
    <xf numFmtId="3" fontId="12" fillId="0" borderId="0" xfId="0" applyNumberFormat="1" applyFont="1"/>
    <xf numFmtId="0" fontId="15" fillId="0" borderId="0" xfId="0" applyFont="1"/>
    <xf numFmtId="0" fontId="16" fillId="0" borderId="0" xfId="0" applyFont="1"/>
    <xf numFmtId="0" fontId="12" fillId="0" borderId="0" xfId="0" applyFont="1"/>
    <xf numFmtId="1" fontId="13" fillId="0" borderId="0" xfId="0" applyNumberFormat="1" applyFont="1" applyProtection="1">
      <protection locked="0"/>
    </xf>
    <xf numFmtId="0" fontId="12" fillId="0" borderId="0" xfId="0" applyFont="1" applyAlignment="1">
      <alignment horizontal="right"/>
    </xf>
    <xf numFmtId="164" fontId="13" fillId="0" borderId="0" xfId="0" applyNumberFormat="1" applyFont="1"/>
    <xf numFmtId="0" fontId="14" fillId="0" borderId="0" xfId="0" applyFont="1"/>
    <xf numFmtId="0" fontId="8" fillId="0" borderId="0" xfId="0" applyFont="1" applyAlignment="1">
      <alignment horizontal="left" indent="2"/>
    </xf>
    <xf numFmtId="0" fontId="12" fillId="0" borderId="0" xfId="0" applyFont="1" applyProtection="1">
      <protection locked="0"/>
    </xf>
    <xf numFmtId="0" fontId="8" fillId="0" borderId="0" xfId="0" applyFont="1" applyProtection="1">
      <protection locked="0"/>
    </xf>
    <xf numFmtId="0" fontId="9" fillId="3" borderId="0" xfId="0" applyFont="1" applyFill="1" applyAlignment="1">
      <alignment horizontal="center"/>
    </xf>
    <xf numFmtId="0" fontId="17" fillId="0" borderId="0" xfId="0" applyFont="1"/>
    <xf numFmtId="1" fontId="12" fillId="0" borderId="0" xfId="0" applyNumberFormat="1" applyFont="1" applyAlignment="1">
      <alignment horizontal="right"/>
    </xf>
    <xf numFmtId="3" fontId="12" fillId="0" borderId="0" xfId="0" applyNumberFormat="1" applyFont="1" applyAlignment="1">
      <alignment horizontal="right"/>
    </xf>
    <xf numFmtId="3" fontId="12" fillId="0" borderId="0" xfId="2" applyNumberFormat="1" applyFont="1" applyFill="1"/>
    <xf numFmtId="9" fontId="12" fillId="0" borderId="0" xfId="1" applyFont="1" applyFill="1"/>
    <xf numFmtId="164" fontId="8" fillId="0" borderId="0" xfId="0" applyNumberFormat="1" applyFont="1"/>
    <xf numFmtId="0" fontId="13" fillId="0" borderId="0" xfId="0" applyFont="1"/>
    <xf numFmtId="0" fontId="18" fillId="0" borderId="0" xfId="0" applyFont="1"/>
    <xf numFmtId="3" fontId="8" fillId="0" borderId="0" xfId="0" applyNumberFormat="1" applyFont="1" applyAlignment="1" applyProtection="1">
      <alignment horizontal="right"/>
      <protection locked="0"/>
    </xf>
    <xf numFmtId="3" fontId="19" fillId="0" borderId="0" xfId="0" applyNumberFormat="1" applyFont="1"/>
    <xf numFmtId="0" fontId="10" fillId="4" borderId="0" xfId="0" applyFont="1" applyFill="1"/>
    <xf numFmtId="0" fontId="0" fillId="4" borderId="0" xfId="0" applyFill="1"/>
    <xf numFmtId="0" fontId="6" fillId="4" borderId="0" xfId="0" applyFont="1" applyFill="1"/>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0" fontId="23" fillId="0" borderId="2" xfId="0" applyFont="1" applyBorder="1" applyAlignment="1">
      <alignment vertical="center" wrapText="1"/>
    </xf>
    <xf numFmtId="0" fontId="23" fillId="5"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21" fillId="0" borderId="4" xfId="0" applyFont="1" applyBorder="1" applyAlignment="1">
      <alignment vertical="center" wrapText="1"/>
    </xf>
    <xf numFmtId="0" fontId="21" fillId="5" borderId="5"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4" fillId="0" borderId="0" xfId="0" applyFont="1" applyAlignment="1">
      <alignment vertical="center"/>
    </xf>
    <xf numFmtId="0" fontId="20" fillId="0" borderId="0" xfId="0" applyFont="1" applyAlignment="1">
      <alignment vertical="center" wrapText="1"/>
    </xf>
    <xf numFmtId="0" fontId="25" fillId="0" borderId="0" xfId="0" applyFont="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left" vertical="center"/>
    </xf>
    <xf numFmtId="0" fontId="27" fillId="4" borderId="0" xfId="3" applyFont="1" applyFill="1" applyAlignment="1">
      <alignment horizontal="left"/>
    </xf>
    <xf numFmtId="0" fontId="27" fillId="4" borderId="0" xfId="3" applyFont="1" applyFill="1"/>
    <xf numFmtId="0" fontId="11" fillId="0" borderId="0" xfId="0" applyFont="1" applyAlignment="1">
      <alignment horizontal="left" vertical="center"/>
    </xf>
    <xf numFmtId="0" fontId="11" fillId="0" borderId="0" xfId="0" applyFont="1" applyAlignment="1">
      <alignment horizontal="left" vertical="center" indent="2"/>
    </xf>
    <xf numFmtId="0" fontId="11" fillId="0" borderId="0" xfId="0" applyFont="1" applyAlignment="1">
      <alignment horizontal="left"/>
    </xf>
    <xf numFmtId="3" fontId="31" fillId="0" borderId="0" xfId="0" applyNumberFormat="1" applyFont="1"/>
    <xf numFmtId="3" fontId="13" fillId="0" borderId="0" xfId="0" applyNumberFormat="1" applyFont="1"/>
    <xf numFmtId="1" fontId="6" fillId="0" borderId="0" xfId="0" applyNumberFormat="1" applyFont="1"/>
    <xf numFmtId="1" fontId="8" fillId="0" borderId="0" xfId="0" applyNumberFormat="1" applyFont="1"/>
    <xf numFmtId="1" fontId="12" fillId="0" borderId="0" xfId="0" applyNumberFormat="1" applyFont="1"/>
    <xf numFmtId="0" fontId="31" fillId="0" borderId="0" xfId="0" applyFont="1"/>
    <xf numFmtId="3" fontId="12" fillId="0" borderId="0" xfId="0" applyNumberFormat="1" applyFont="1" applyProtection="1">
      <protection locked="0"/>
    </xf>
    <xf numFmtId="1" fontId="12" fillId="0" borderId="0" xfId="0" applyNumberFormat="1" applyFont="1" applyProtection="1">
      <protection locked="0"/>
    </xf>
    <xf numFmtId="1" fontId="8" fillId="0" borderId="0" xfId="0" applyNumberFormat="1" applyFont="1" applyProtection="1">
      <protection locked="0"/>
    </xf>
    <xf numFmtId="1" fontId="13" fillId="0" borderId="0" xfId="0" applyNumberFormat="1" applyFont="1" applyAlignment="1">
      <alignment horizontal="right"/>
    </xf>
    <xf numFmtId="1" fontId="33" fillId="0" borderId="0" xfId="4" applyNumberFormat="1" applyFont="1"/>
    <xf numFmtId="1" fontId="32" fillId="0" borderId="0" xfId="4" applyNumberFormat="1" applyFont="1"/>
    <xf numFmtId="165" fontId="6" fillId="0" borderId="0" xfId="0" applyNumberFormat="1" applyFont="1"/>
    <xf numFmtId="9" fontId="8" fillId="0" borderId="0" xfId="1" applyFont="1"/>
    <xf numFmtId="1" fontId="11" fillId="0" borderId="0" xfId="0" applyNumberFormat="1" applyFont="1"/>
    <xf numFmtId="0" fontId="12" fillId="0" borderId="0" xfId="4" applyFont="1"/>
    <xf numFmtId="1" fontId="13" fillId="0" borderId="0" xfId="4" applyNumberFormat="1" applyFont="1"/>
    <xf numFmtId="3" fontId="12" fillId="0" borderId="0" xfId="4" applyNumberFormat="1" applyFont="1"/>
    <xf numFmtId="1" fontId="12" fillId="0" borderId="0" xfId="0" applyNumberFormat="1" applyFont="1" applyAlignment="1" applyProtection="1">
      <alignment horizontal="right"/>
      <protection locked="0"/>
    </xf>
    <xf numFmtId="3" fontId="8" fillId="0" borderId="0" xfId="1" applyNumberFormat="1" applyFont="1"/>
    <xf numFmtId="0" fontId="34" fillId="0" borderId="0" xfId="0" applyFont="1"/>
    <xf numFmtId="0" fontId="11" fillId="0" borderId="0" xfId="0" applyFont="1" applyAlignment="1">
      <alignment horizontal="left" vertical="center" indent="1"/>
    </xf>
    <xf numFmtId="1" fontId="8" fillId="0" borderId="0" xfId="0" applyNumberFormat="1" applyFont="1" applyAlignment="1">
      <alignment horizontal="right"/>
    </xf>
    <xf numFmtId="0" fontId="13" fillId="0" borderId="0" xfId="0" applyFont="1" applyAlignment="1">
      <alignment horizontal="left" vertical="center"/>
    </xf>
    <xf numFmtId="0" fontId="35" fillId="0" borderId="0" xfId="0" applyFont="1"/>
    <xf numFmtId="3" fontId="6" fillId="0" borderId="0" xfId="0" applyNumberFormat="1" applyFont="1"/>
    <xf numFmtId="164" fontId="8" fillId="0" borderId="0" xfId="0" applyNumberFormat="1" applyFont="1" applyAlignment="1">
      <alignment horizontal="right"/>
    </xf>
    <xf numFmtId="9" fontId="8" fillId="0" borderId="0" xfId="0" applyNumberFormat="1" applyFont="1"/>
    <xf numFmtId="164" fontId="6" fillId="0" borderId="0" xfId="0" applyNumberFormat="1" applyFont="1"/>
    <xf numFmtId="0" fontId="11" fillId="0" borderId="0" xfId="0" applyFont="1" applyAlignment="1">
      <alignment wrapText="1"/>
    </xf>
    <xf numFmtId="0" fontId="13" fillId="0" borderId="0" xfId="0" applyFont="1" applyAlignment="1">
      <alignment horizontal="left" indent="1"/>
    </xf>
    <xf numFmtId="0" fontId="13" fillId="0" borderId="0" xfId="0" applyFont="1" applyAlignment="1">
      <alignment horizontal="left" vertical="center" indent="2"/>
    </xf>
    <xf numFmtId="0" fontId="36" fillId="0" borderId="0" xfId="0" applyFont="1" applyAlignment="1">
      <alignment horizontal="left" vertical="center"/>
    </xf>
    <xf numFmtId="0" fontId="37" fillId="0" borderId="0" xfId="0" applyFont="1" applyAlignment="1">
      <alignment horizontal="left" vertical="center"/>
    </xf>
    <xf numFmtId="0" fontId="12" fillId="0" borderId="0" xfId="0" applyFont="1" applyAlignment="1">
      <alignment horizontal="left" indent="1"/>
    </xf>
    <xf numFmtId="0" fontId="9" fillId="3" borderId="1" xfId="0" applyFont="1" applyFill="1" applyBorder="1" applyAlignment="1">
      <alignment horizontal="right"/>
    </xf>
    <xf numFmtId="164" fontId="6" fillId="0" borderId="0" xfId="0" applyNumberFormat="1" applyFont="1" applyAlignment="1">
      <alignment horizontal="right"/>
    </xf>
    <xf numFmtId="0" fontId="38" fillId="0" borderId="0" xfId="0" applyFont="1" applyAlignment="1">
      <alignment vertical="center" wrapText="1"/>
    </xf>
    <xf numFmtId="0" fontId="13" fillId="0" borderId="0" xfId="0" applyFont="1" applyAlignment="1">
      <alignment horizontal="left" indent="2"/>
    </xf>
    <xf numFmtId="0" fontId="13" fillId="0" borderId="0" xfId="0" applyFont="1" applyAlignment="1">
      <alignment horizontal="left"/>
    </xf>
    <xf numFmtId="0" fontId="39" fillId="0" borderId="0" xfId="5" applyFont="1"/>
    <xf numFmtId="3" fontId="6" fillId="0" borderId="0" xfId="0" applyNumberFormat="1" applyFont="1" applyAlignment="1">
      <alignment horizontal="right"/>
    </xf>
    <xf numFmtId="3" fontId="40" fillId="0" borderId="0" xfId="0" applyNumberFormat="1" applyFont="1" applyAlignment="1">
      <alignment horizontal="right" vertical="center"/>
    </xf>
    <xf numFmtId="3" fontId="41" fillId="0" borderId="0" xfId="0" applyNumberFormat="1" applyFont="1"/>
    <xf numFmtId="3" fontId="40" fillId="0" borderId="0" xfId="0" applyNumberFormat="1" applyFont="1"/>
    <xf numFmtId="3" fontId="42" fillId="0" borderId="0" xfId="0" applyNumberFormat="1" applyFont="1"/>
    <xf numFmtId="0" fontId="40" fillId="0" borderId="0" xfId="0" applyFont="1"/>
    <xf numFmtId="1" fontId="40" fillId="0" borderId="0" xfId="0" applyNumberFormat="1" applyFont="1"/>
    <xf numFmtId="3" fontId="41" fillId="0" borderId="0" xfId="0" applyNumberFormat="1" applyFont="1" applyAlignment="1" applyProtection="1">
      <alignment horizontal="right"/>
      <protection locked="0"/>
    </xf>
    <xf numFmtId="3" fontId="43" fillId="0" borderId="0" xfId="0" applyNumberFormat="1" applyFont="1"/>
    <xf numFmtId="3" fontId="11" fillId="0" borderId="0" xfId="0" applyNumberFormat="1" applyFont="1"/>
    <xf numFmtId="3" fontId="41" fillId="0" borderId="0" xfId="0" applyNumberFormat="1" applyFont="1" applyProtection="1">
      <protection locked="0"/>
    </xf>
    <xf numFmtId="0" fontId="41" fillId="0" borderId="0" xfId="0" applyFont="1"/>
    <xf numFmtId="3" fontId="41" fillId="0" borderId="0" xfId="0" applyNumberFormat="1" applyFont="1" applyAlignment="1">
      <alignment horizontal="right"/>
    </xf>
    <xf numFmtId="3" fontId="12" fillId="0" borderId="0" xfId="0" applyNumberFormat="1" applyFont="1" applyAlignment="1" applyProtection="1">
      <alignment horizontal="right"/>
      <protection locked="0"/>
    </xf>
    <xf numFmtId="0" fontId="45" fillId="0" borderId="0" xfId="0" applyFont="1"/>
    <xf numFmtId="0" fontId="5" fillId="0" borderId="0" xfId="0" applyFont="1"/>
    <xf numFmtId="0" fontId="4" fillId="0" borderId="0" xfId="0" applyFont="1"/>
    <xf numFmtId="0" fontId="4" fillId="0" borderId="0" xfId="0" applyFont="1" applyAlignment="1">
      <alignment horizontal="left"/>
    </xf>
    <xf numFmtId="166" fontId="8" fillId="0" borderId="0" xfId="6" applyNumberFormat="1" applyFont="1" applyFill="1" applyBorder="1"/>
    <xf numFmtId="166" fontId="8" fillId="0" borderId="7" xfId="6" applyNumberFormat="1" applyFont="1" applyFill="1" applyBorder="1"/>
    <xf numFmtId="166" fontId="8" fillId="0" borderId="0" xfId="6" applyNumberFormat="1" applyFont="1"/>
    <xf numFmtId="166" fontId="12" fillId="0" borderId="0" xfId="6" applyNumberFormat="1" applyFont="1"/>
    <xf numFmtId="0" fontId="10" fillId="0" borderId="0" xfId="4" applyFont="1"/>
    <xf numFmtId="0" fontId="3" fillId="0" borderId="0" xfId="4" applyFont="1"/>
    <xf numFmtId="0" fontId="10" fillId="3" borderId="1" xfId="4" applyFont="1" applyFill="1" applyBorder="1"/>
    <xf numFmtId="0" fontId="9" fillId="3" borderId="1" xfId="4" applyFont="1" applyFill="1" applyBorder="1"/>
    <xf numFmtId="0" fontId="8" fillId="0" borderId="0" xfId="4" applyFont="1" applyAlignment="1">
      <alignment horizontal="left" vertical="center" wrapText="1"/>
    </xf>
    <xf numFmtId="0" fontId="8" fillId="0" borderId="0" xfId="4" applyFont="1" applyAlignment="1">
      <alignment horizontal="left" vertical="center" wrapText="1" indent="1"/>
    </xf>
    <xf numFmtId="0" fontId="8" fillId="0" borderId="0" xfId="4" applyFont="1" applyAlignment="1">
      <alignment horizontal="left" wrapText="1" indent="1"/>
    </xf>
    <xf numFmtId="0" fontId="12" fillId="0" borderId="0" xfId="4" applyFont="1" applyAlignment="1">
      <alignment wrapText="1"/>
    </xf>
    <xf numFmtId="3" fontId="12" fillId="0" borderId="0" xfId="4" applyNumberFormat="1" applyFont="1" applyAlignment="1">
      <alignment wrapText="1"/>
    </xf>
    <xf numFmtId="0" fontId="8" fillId="0" borderId="0" xfId="4" applyFont="1" applyAlignment="1">
      <alignment wrapText="1"/>
    </xf>
    <xf numFmtId="0" fontId="11" fillId="0" borderId="0" xfId="4" applyFont="1" applyAlignment="1">
      <alignment horizontal="left" vertical="center" wrapText="1"/>
    </xf>
    <xf numFmtId="0" fontId="11" fillId="0" borderId="0" xfId="4" applyFont="1" applyAlignment="1">
      <alignment horizontal="left" vertical="center" wrapText="1" indent="1"/>
    </xf>
    <xf numFmtId="3" fontId="42" fillId="0" borderId="0" xfId="4" applyNumberFormat="1" applyFont="1"/>
    <xf numFmtId="0" fontId="40" fillId="0" borderId="0" xfId="4" applyFont="1" applyAlignment="1">
      <alignment wrapText="1"/>
    </xf>
    <xf numFmtId="3" fontId="40" fillId="0" borderId="0" xfId="4" applyNumberFormat="1" applyFont="1" applyAlignment="1">
      <alignment wrapText="1"/>
    </xf>
    <xf numFmtId="3" fontId="42" fillId="0" borderId="0" xfId="4" applyNumberFormat="1" applyFont="1" applyAlignment="1">
      <alignment wrapText="1"/>
    </xf>
    <xf numFmtId="0" fontId="11" fillId="0" borderId="0" xfId="4" applyFont="1"/>
    <xf numFmtId="3" fontId="3" fillId="0" borderId="0" xfId="4" applyNumberFormat="1" applyFont="1"/>
    <xf numFmtId="3" fontId="8" fillId="0" borderId="0" xfId="4" applyNumberFormat="1" applyFont="1"/>
    <xf numFmtId="0" fontId="8" fillId="0" borderId="0" xfId="4" applyFont="1"/>
    <xf numFmtId="0" fontId="12" fillId="0" borderId="0" xfId="4" applyFont="1" applyAlignment="1">
      <alignment horizontal="right"/>
    </xf>
    <xf numFmtId="1" fontId="11" fillId="0" borderId="0" xfId="4" applyNumberFormat="1" applyFont="1"/>
    <xf numFmtId="1" fontId="3" fillId="0" borderId="0" xfId="4" applyNumberFormat="1" applyFont="1"/>
    <xf numFmtId="0" fontId="11" fillId="0" borderId="0" xfId="4" applyFont="1" applyAlignment="1">
      <alignment horizontal="left" vertical="center"/>
    </xf>
    <xf numFmtId="3" fontId="8" fillId="0" borderId="0" xfId="4" applyNumberFormat="1" applyFont="1" applyProtection="1">
      <protection locked="0"/>
    </xf>
    <xf numFmtId="3" fontId="12" fillId="0" borderId="0" xfId="7" applyNumberFormat="1" applyFont="1" applyFill="1"/>
    <xf numFmtId="0" fontId="11" fillId="0" borderId="0" xfId="4" applyFont="1" applyAlignment="1">
      <alignment horizontal="left" indent="2"/>
    </xf>
    <xf numFmtId="0" fontId="3" fillId="0" borderId="0" xfId="0" applyFont="1"/>
    <xf numFmtId="0" fontId="0" fillId="0" borderId="0" xfId="0" applyAlignment="1">
      <alignment horizontal="center" vertical="top"/>
    </xf>
    <xf numFmtId="3" fontId="40" fillId="0" borderId="0" xfId="0" applyNumberFormat="1" applyFont="1" applyAlignment="1">
      <alignment horizontal="right"/>
    </xf>
    <xf numFmtId="0" fontId="12" fillId="0" borderId="0" xfId="4" applyFont="1" applyAlignment="1">
      <alignment horizontal="left" wrapText="1" indent="1"/>
    </xf>
    <xf numFmtId="1" fontId="47" fillId="0" borderId="0" xfId="26" applyNumberFormat="1"/>
    <xf numFmtId="0" fontId="1" fillId="0" borderId="0" xfId="0" applyFont="1"/>
    <xf numFmtId="0" fontId="8" fillId="0" borderId="0" xfId="0" quotePrefix="1" applyFont="1" applyAlignment="1">
      <alignment horizontal="right"/>
    </xf>
    <xf numFmtId="0" fontId="27" fillId="4" borderId="0" xfId="3" applyFont="1" applyFill="1" applyAlignment="1"/>
    <xf numFmtId="0" fontId="27" fillId="0" borderId="0" xfId="3" applyFont="1" applyAlignment="1"/>
    <xf numFmtId="0" fontId="9" fillId="3" borderId="1" xfId="0" applyFont="1" applyFill="1" applyBorder="1" applyAlignment="1">
      <alignment horizontal="center"/>
    </xf>
    <xf numFmtId="0" fontId="21" fillId="5" borderId="8"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wrapText="1"/>
    </xf>
  </cellXfs>
  <cellStyles count="27">
    <cellStyle name="20 % - uthevingsfarge 1" xfId="8" xr:uid="{00000000-0005-0000-0000-000000000000}"/>
    <cellStyle name="20 % - uthevingsfarge 2" xfId="9" xr:uid="{00000000-0005-0000-0000-000001000000}"/>
    <cellStyle name="20 % - uthevingsfarge 3" xfId="10" xr:uid="{00000000-0005-0000-0000-000002000000}"/>
    <cellStyle name="20 % - uthevingsfarge 4" xfId="11" xr:uid="{00000000-0005-0000-0000-000003000000}"/>
    <cellStyle name="20 % - uthevingsfarge 5" xfId="12" xr:uid="{00000000-0005-0000-0000-000004000000}"/>
    <cellStyle name="20 % - uthevingsfarge 6" xfId="13" xr:uid="{00000000-0005-0000-0000-000005000000}"/>
    <cellStyle name="40 % - uthevingsfarge 1" xfId="14" xr:uid="{00000000-0005-0000-0000-000006000000}"/>
    <cellStyle name="40 % - uthevingsfarge 2" xfId="15" xr:uid="{00000000-0005-0000-0000-000007000000}"/>
    <cellStyle name="40 % - uthevingsfarge 3" xfId="16" xr:uid="{00000000-0005-0000-0000-000008000000}"/>
    <cellStyle name="40 % - uthevingsfarge 4" xfId="17" xr:uid="{00000000-0005-0000-0000-000009000000}"/>
    <cellStyle name="40 % - uthevingsfarge 5" xfId="18" xr:uid="{00000000-0005-0000-0000-00000A000000}"/>
    <cellStyle name="40 % - uthevingsfarge 6" xfId="19" xr:uid="{00000000-0005-0000-0000-00000B000000}"/>
    <cellStyle name="60 % - uthevingsfarge 1" xfId="20" xr:uid="{00000000-0005-0000-0000-00000C000000}"/>
    <cellStyle name="60 % - uthevingsfarge 2" xfId="21" xr:uid="{00000000-0005-0000-0000-00000D000000}"/>
    <cellStyle name="60 % - uthevingsfarge 3" xfId="22" xr:uid="{00000000-0005-0000-0000-00000E000000}"/>
    <cellStyle name="60 % - uthevingsfarge 4" xfId="23" xr:uid="{00000000-0005-0000-0000-00000F000000}"/>
    <cellStyle name="60 % - uthevingsfarge 5" xfId="24" xr:uid="{00000000-0005-0000-0000-000010000000}"/>
    <cellStyle name="60 % - uthevingsfarge 6" xfId="25" xr:uid="{00000000-0005-0000-0000-000011000000}"/>
    <cellStyle name="Comma" xfId="6" builtinId="3"/>
    <cellStyle name="Hyperlink" xfId="3" builtinId="8"/>
    <cellStyle name="Neutral" xfId="2" builtinId="28"/>
    <cellStyle name="Normal" xfId="0" builtinId="0"/>
    <cellStyle name="Normal 2" xfId="4" xr:uid="{00000000-0005-0000-0000-000016000000}"/>
    <cellStyle name="Normal 3" xfId="5" xr:uid="{00000000-0005-0000-0000-000017000000}"/>
    <cellStyle name="Normal_Folkmängd" xfId="26" xr:uid="{00000000-0005-0000-0000-000018000000}"/>
    <cellStyle name="Percent" xfId="1" builtinId="5"/>
    <cellStyle name="Prosent 2" xfId="7"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ordisk%20statistik_Tabeller_2014-2024_Til%20innsetningar_F&#230;ra%20svo%20&#237;%20endanlegt%20skj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Tabell 1"/>
      <sheetName val="Tabell 2"/>
      <sheetName val="Tabell 3"/>
      <sheetName val="Tabell 4"/>
      <sheetName val="Tabell 5"/>
      <sheetName val="Tabell 6"/>
      <sheetName val="Tabell 7"/>
      <sheetName val="Tabell 8"/>
      <sheetName val="Tabell 9"/>
      <sheetName val="Tabell 10"/>
      <sheetName val="Tabell 11"/>
      <sheetName val="Tabell 12"/>
      <sheetName val="Definitioner"/>
      <sheetName val="Folkmängd"/>
    </sheetNames>
    <sheetDataSet>
      <sheetData sheetId="0"/>
      <sheetData sheetId="1"/>
      <sheetData sheetId="2"/>
      <sheetData sheetId="3"/>
      <sheetData sheetId="4"/>
      <sheetData sheetId="5"/>
      <sheetData sheetId="6"/>
      <sheetData sheetId="7"/>
      <sheetData sheetId="8">
        <row r="59">
          <cell r="M59">
            <v>37.799999999999997</v>
          </cell>
        </row>
        <row r="64">
          <cell r="M64">
            <v>97</v>
          </cell>
        </row>
        <row r="69">
          <cell r="M69">
            <v>3.8</v>
          </cell>
        </row>
      </sheetData>
      <sheetData sheetId="9"/>
      <sheetData sheetId="10"/>
      <sheetData sheetId="11"/>
      <sheetData sheetId="12"/>
      <sheetData sheetId="13"/>
      <sheetData sheetId="14">
        <row r="17">
          <cell r="M17">
            <v>313681</v>
          </cell>
        </row>
        <row r="18">
          <cell r="M18">
            <v>398971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6"/>
  <sheetViews>
    <sheetView tabSelected="1" workbookViewId="0">
      <selection activeCell="A15" sqref="A15:B15"/>
    </sheetView>
  </sheetViews>
  <sheetFormatPr defaultColWidth="9" defaultRowHeight="14.25" x14ac:dyDescent="0.2"/>
  <cols>
    <col min="1" max="1" width="9" style="43"/>
    <col min="2" max="2" width="63.625" style="43" bestFit="1" customWidth="1"/>
    <col min="3" max="16384" width="9" style="43"/>
  </cols>
  <sheetData>
    <row r="2" spans="1:5" ht="18.75" x14ac:dyDescent="0.3">
      <c r="A2" s="42" t="s">
        <v>147</v>
      </c>
    </row>
    <row r="3" spans="1:5" ht="15" x14ac:dyDescent="0.25">
      <c r="A3" s="61" t="s">
        <v>135</v>
      </c>
      <c r="B3" s="62" t="s">
        <v>0</v>
      </c>
      <c r="C3" s="44"/>
    </row>
    <row r="4" spans="1:5" ht="15" x14ac:dyDescent="0.25">
      <c r="A4" s="61" t="s">
        <v>136</v>
      </c>
      <c r="B4" s="62" t="s">
        <v>6</v>
      </c>
      <c r="C4" s="44"/>
    </row>
    <row r="5" spans="1:5" ht="15" x14ac:dyDescent="0.25">
      <c r="A5" s="61" t="s">
        <v>137</v>
      </c>
      <c r="B5" s="62" t="s">
        <v>7</v>
      </c>
      <c r="C5" s="44"/>
    </row>
    <row r="6" spans="1:5" ht="15" x14ac:dyDescent="0.25">
      <c r="A6" s="61" t="s">
        <v>138</v>
      </c>
      <c r="B6" s="62" t="s">
        <v>283</v>
      </c>
      <c r="C6" s="44"/>
    </row>
    <row r="7" spans="1:5" ht="15" x14ac:dyDescent="0.25">
      <c r="A7" s="61" t="s">
        <v>139</v>
      </c>
      <c r="B7" s="62" t="s">
        <v>8</v>
      </c>
      <c r="C7" s="44"/>
    </row>
    <row r="8" spans="1:5" ht="15" x14ac:dyDescent="0.25">
      <c r="A8" s="61" t="s">
        <v>140</v>
      </c>
      <c r="B8" s="62" t="s">
        <v>9</v>
      </c>
      <c r="C8" s="44"/>
    </row>
    <row r="9" spans="1:5" ht="15" x14ac:dyDescent="0.25">
      <c r="A9" s="61" t="s">
        <v>141</v>
      </c>
      <c r="B9" s="62" t="s">
        <v>10</v>
      </c>
    </row>
    <row r="10" spans="1:5" ht="15" x14ac:dyDescent="0.25">
      <c r="A10" s="61" t="s">
        <v>142</v>
      </c>
      <c r="B10" s="62" t="s">
        <v>11</v>
      </c>
    </row>
    <row r="11" spans="1:5" ht="15" x14ac:dyDescent="0.25">
      <c r="A11" s="61" t="s">
        <v>143</v>
      </c>
      <c r="B11" s="62" t="s">
        <v>12</v>
      </c>
    </row>
    <row r="12" spans="1:5" ht="15" x14ac:dyDescent="0.25">
      <c r="A12" s="61" t="s">
        <v>144</v>
      </c>
      <c r="B12" s="62" t="s">
        <v>287</v>
      </c>
      <c r="E12" s="44"/>
    </row>
    <row r="13" spans="1:5" ht="15" x14ac:dyDescent="0.25">
      <c r="A13" s="61" t="s">
        <v>145</v>
      </c>
      <c r="B13" s="62" t="s">
        <v>13</v>
      </c>
      <c r="E13" s="44"/>
    </row>
    <row r="14" spans="1:5" ht="15" x14ac:dyDescent="0.25">
      <c r="A14" s="61" t="s">
        <v>146</v>
      </c>
      <c r="B14" s="62" t="s">
        <v>77</v>
      </c>
      <c r="E14" s="44"/>
    </row>
    <row r="15" spans="1:5" ht="15" x14ac:dyDescent="0.25">
      <c r="A15" s="163" t="s">
        <v>148</v>
      </c>
      <c r="B15" s="164"/>
      <c r="E15" s="44"/>
    </row>
    <row r="16" spans="1:5" ht="15" x14ac:dyDescent="0.25">
      <c r="E16" s="44"/>
    </row>
  </sheetData>
  <mergeCells count="1">
    <mergeCell ref="A15:B15"/>
  </mergeCells>
  <hyperlinks>
    <hyperlink ref="A3:B3" display="Tabell 1" xr:uid="{00000000-0004-0000-0000-000000000000}"/>
    <hyperlink ref="A4:B4" display="Tabell 2" xr:uid="{00000000-0004-0000-0000-000001000000}"/>
    <hyperlink ref="A5:B5" display="Tabell 3" xr:uid="{00000000-0004-0000-0000-000002000000}"/>
    <hyperlink ref="A6:B6" display="Tabell 4" xr:uid="{00000000-0004-0000-0000-000003000000}"/>
    <hyperlink ref="A7:B7" display="Tabell 5" xr:uid="{00000000-0004-0000-0000-000004000000}"/>
    <hyperlink ref="A8:B8" display="Tabell 6" xr:uid="{00000000-0004-0000-0000-000005000000}"/>
    <hyperlink ref="A9:B9" display="Tabell 7" xr:uid="{00000000-0004-0000-0000-000006000000}"/>
    <hyperlink ref="A10:B10" display="Tabell 8" xr:uid="{00000000-0004-0000-0000-000007000000}"/>
    <hyperlink ref="A11:B11" display="Tabell 9" xr:uid="{00000000-0004-0000-0000-000008000000}"/>
    <hyperlink ref="A12:B12" display="Tabell 10" xr:uid="{00000000-0004-0000-0000-000009000000}"/>
    <hyperlink ref="A13:B13" display="Tabell 11" xr:uid="{00000000-0004-0000-0000-00000A000000}"/>
    <hyperlink ref="A14:B14" display="Tabell 12" xr:uid="{00000000-0004-0000-0000-00000B000000}"/>
    <hyperlink ref="A15" display="Definitioner" xr:uid="{00000000-0004-0000-0000-00000C000000}"/>
    <hyperlink ref="B3" location="'Tabell 1'!A1" display="Klienttillströmning till kriminalvården" xr:uid="{00000000-0004-0000-0000-00000D000000}"/>
    <hyperlink ref="B4" location="'Tabell 2'!A1" display="Medelantal frihetsberövade per kategori" xr:uid="{00000000-0004-0000-0000-00000E000000}"/>
    <hyperlink ref="B5" location="'Tabell 3'!A1" display="Medelantal frivårdsklienter per kategori" xr:uid="{00000000-0004-0000-0000-00000F000000}"/>
    <hyperlink ref="B6" location="'Tabell 4'!A1" display="Dömda till fängelse en bestämd dag" xr:uid="{00000000-0004-0000-0000-000010000000}"/>
    <hyperlink ref="B7" location="'Tabell 5'!A1" display="Rymningar direkt från anstalts- eller häktesområde" xr:uid="{00000000-0004-0000-0000-000011000000}"/>
    <hyperlink ref="B8" location="'Tabell 6'!A1" display="Dödsfall i anstalter och häkten" xr:uid="{00000000-0004-0000-0000-000012000000}"/>
    <hyperlink ref="B9" location="'Tabell 7'!A1" display="Anstalts- och häktesenheter, antal och tillgängliga platser vid årets slut" xr:uid="{00000000-0004-0000-0000-000013000000}"/>
    <hyperlink ref="B10" location="'Tabell 8'!A1" display="Tillgängliga platser, beläggning och beläggningsprocent i medeltal" xr:uid="{00000000-0004-0000-0000-000014000000}"/>
    <hyperlink ref="B11" location="'Tabell 9'!A1" display="Personal i kriminalvården i absoluta tal och i relation till antalet klienter" xr:uid="{00000000-0004-0000-0000-000015000000}"/>
    <hyperlink ref="B12" location="'Tabell 10'!A1" display="Dömda till fängelse uppdelat på kön och huvudbrott - en bestämd dag i procent" xr:uid="{00000000-0004-0000-0000-000016000000}"/>
    <hyperlink ref="B13" location="'Tabell 11'!A1" display="Återfall i brott inom två år efter avgång från anstalt" xr:uid="{00000000-0004-0000-0000-000017000000}"/>
    <hyperlink ref="B14" location="'Tabell 12'!A1" display="Genomsnittligt antal utdömda månader för fängelsestraff" xr:uid="{00000000-0004-0000-0000-000018000000}"/>
    <hyperlink ref="A3" location="'Tabell 1'!A1" display="Tabell 1" xr:uid="{00000000-0004-0000-0000-000019000000}"/>
    <hyperlink ref="A4" location="'Tabell 2'!A1" display="Tabell 2" xr:uid="{00000000-0004-0000-0000-00001A000000}"/>
    <hyperlink ref="A5" location="'Tabell 3'!A1" display="Tabell 3" xr:uid="{00000000-0004-0000-0000-00001B000000}"/>
    <hyperlink ref="A6" location="'Tabell 4'!A1" display="Tabell 4" xr:uid="{00000000-0004-0000-0000-00001C000000}"/>
    <hyperlink ref="A7" location="'Tabell 5'!A1" display="Tabell 5" xr:uid="{00000000-0004-0000-0000-00001D000000}"/>
    <hyperlink ref="A8" location="'Tabell 6'!A1" display="Tabell 6" xr:uid="{00000000-0004-0000-0000-00001E000000}"/>
    <hyperlink ref="A9" location="'Tabell 7'!A1" display="Tabell 7" xr:uid="{00000000-0004-0000-0000-00001F000000}"/>
    <hyperlink ref="A10" location="'Tabell 8'!A1" display="Tabell 8" xr:uid="{00000000-0004-0000-0000-000020000000}"/>
    <hyperlink ref="A11" location="'Tabell 9'!A1" display="Tabell 9" xr:uid="{00000000-0004-0000-0000-000021000000}"/>
    <hyperlink ref="A12" location="'Tabell 10'!A1" display="Tabell 10" xr:uid="{00000000-0004-0000-0000-000022000000}"/>
    <hyperlink ref="A13" location="'Tabell 11'!A1" display="Tabell 11" xr:uid="{00000000-0004-0000-0000-000023000000}"/>
    <hyperlink ref="A14" location="'Tabell 12'!A1" display="Tabell 12" xr:uid="{00000000-0004-0000-0000-000024000000}"/>
    <hyperlink ref="A15:B15" location="Definitioner!A1" display="Definitioner" xr:uid="{00000000-0004-0000-0000-000025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V140"/>
  <sheetViews>
    <sheetView zoomScaleNormal="100" workbookViewId="0">
      <pane ySplit="2" topLeftCell="A3" activePane="bottomLeft" state="frozen"/>
      <selection activeCell="K42" sqref="K42"/>
      <selection pane="bottomLeft"/>
    </sheetView>
  </sheetViews>
  <sheetFormatPr defaultColWidth="9" defaultRowHeight="15" x14ac:dyDescent="0.25"/>
  <cols>
    <col min="1" max="1" width="1.625" style="1" customWidth="1"/>
    <col min="2" max="2" width="29.625" style="1" customWidth="1"/>
    <col min="3" max="10" width="10" style="1" customWidth="1"/>
    <col min="11" max="16384" width="9" style="1"/>
  </cols>
  <sheetData>
    <row r="2" spans="2:13" ht="18.75" x14ac:dyDescent="0.3">
      <c r="B2" s="4" t="s">
        <v>12</v>
      </c>
    </row>
    <row r="3" spans="2:13" ht="18.75" x14ac:dyDescent="0.3">
      <c r="B3" s="4"/>
    </row>
    <row r="4" spans="2:13" ht="18.75" x14ac:dyDescent="0.3">
      <c r="B4" s="15" t="s">
        <v>330</v>
      </c>
      <c r="C4" s="16">
        <v>2014</v>
      </c>
      <c r="D4" s="16">
        <v>2015</v>
      </c>
      <c r="E4" s="16">
        <v>2016</v>
      </c>
      <c r="F4" s="16">
        <v>2017</v>
      </c>
      <c r="G4" s="16">
        <v>2018</v>
      </c>
      <c r="H4" s="16">
        <v>2019</v>
      </c>
      <c r="I4" s="16">
        <v>2020</v>
      </c>
      <c r="J4" s="16">
        <v>2021</v>
      </c>
      <c r="K4" s="16">
        <v>2022</v>
      </c>
      <c r="L4" s="16">
        <v>2023</v>
      </c>
      <c r="M4" s="16">
        <v>2024</v>
      </c>
    </row>
    <row r="5" spans="2:13" x14ac:dyDescent="0.25">
      <c r="B5" s="22" t="s">
        <v>351</v>
      </c>
      <c r="C5" s="69">
        <v>365.60614473920936</v>
      </c>
      <c r="D5" s="69">
        <v>581.07119815668227</v>
      </c>
      <c r="E5" s="69">
        <v>622.2301031008767</v>
      </c>
      <c r="F5" s="69">
        <v>576.55014634450072</v>
      </c>
      <c r="G5" s="69">
        <v>570.20993375509465</v>
      </c>
      <c r="H5" s="69">
        <v>600.31028303649236</v>
      </c>
      <c r="I5" s="69">
        <v>629.49933230783597</v>
      </c>
      <c r="J5" s="69">
        <v>697.01427498927546</v>
      </c>
      <c r="K5" s="69">
        <v>733.9588902859864</v>
      </c>
      <c r="L5" s="70">
        <v>811</v>
      </c>
      <c r="M5" s="70">
        <v>882</v>
      </c>
    </row>
    <row r="6" spans="2:13" x14ac:dyDescent="0.25">
      <c r="B6" s="14" t="s">
        <v>84</v>
      </c>
      <c r="C6" s="8">
        <f>C5/'Tabell 8'!C22*100</f>
        <v>9.6618960026218108</v>
      </c>
      <c r="D6" s="8">
        <f>D5/'Tabell 8'!D22*100</f>
        <v>16.982440909419054</v>
      </c>
      <c r="E6" s="8">
        <f>E5/'Tabell 8'!E22*100</f>
        <v>18.191203131146814</v>
      </c>
      <c r="F6" s="8">
        <f>F5/'Tabell 8'!F22*100</f>
        <v>16.711598444768136</v>
      </c>
      <c r="G6" s="8">
        <f>G5/'Tabell 8'!G22*100</f>
        <v>15.252780166785113</v>
      </c>
      <c r="H6" s="8">
        <f>H5/'Tabell 8'!H22*100</f>
        <v>15.104805450934563</v>
      </c>
      <c r="I6" s="8">
        <f>I5/'Tabell 8'!I22*100</f>
        <v>15.410020374732827</v>
      </c>
      <c r="J6" s="8">
        <f>J5/'Tabell 8'!J22*100</f>
        <v>16.718979970958873</v>
      </c>
      <c r="K6" s="8">
        <f>K5/'Tabell 8'!K22*100</f>
        <v>17.425107385572659</v>
      </c>
      <c r="L6" s="8">
        <f>L5/'Tabell 8'!L22*100</f>
        <v>19.349004361149174</v>
      </c>
      <c r="M6" s="8">
        <f>M5/'Tabell 8'!M22*100</f>
        <v>21.247066954075009</v>
      </c>
    </row>
    <row r="7" spans="2:13" x14ac:dyDescent="0.25">
      <c r="B7" s="2"/>
      <c r="C7" s="2"/>
      <c r="D7" s="2"/>
      <c r="E7" s="2"/>
      <c r="F7" s="2"/>
      <c r="G7" s="2"/>
      <c r="H7" s="2"/>
      <c r="I7" s="2"/>
      <c r="J7" s="2"/>
      <c r="K7" s="2"/>
      <c r="L7" s="23"/>
      <c r="M7" s="23"/>
    </row>
    <row r="8" spans="2:13" x14ac:dyDescent="0.25">
      <c r="B8" s="22" t="s">
        <v>88</v>
      </c>
      <c r="C8" s="10">
        <f>1230+1067+640+692</f>
        <v>3629</v>
      </c>
      <c r="D8" s="10">
        <f>1102+975+617+632</f>
        <v>3326</v>
      </c>
      <c r="E8" s="10">
        <v>3206</v>
      </c>
      <c r="F8" s="10">
        <v>3083</v>
      </c>
      <c r="G8" s="10">
        <v>2920</v>
      </c>
      <c r="H8" s="10">
        <v>2801</v>
      </c>
      <c r="I8" s="10">
        <v>2755</v>
      </c>
      <c r="J8" s="10">
        <f>942+805+417+550</f>
        <v>2714</v>
      </c>
      <c r="K8" s="10">
        <v>2675</v>
      </c>
      <c r="L8" s="20">
        <v>2686.1222592062113</v>
      </c>
      <c r="M8" s="20">
        <v>2744</v>
      </c>
    </row>
    <row r="9" spans="2:13" x14ac:dyDescent="0.25">
      <c r="B9" s="14" t="s">
        <v>84</v>
      </c>
      <c r="C9" s="8">
        <f>C8/'Tabell 8'!C22*100</f>
        <v>95.903805496828753</v>
      </c>
      <c r="D9" s="8">
        <f>D8/'Tabell 8'!D22*100</f>
        <v>97.205985503857846</v>
      </c>
      <c r="E9" s="8">
        <f>E8/'Tabell 8'!E22*100</f>
        <v>93.72898699020611</v>
      </c>
      <c r="F9" s="8">
        <f>F8/'Tabell 8'!F22*100</f>
        <v>89.362318840579718</v>
      </c>
      <c r="G9" s="8">
        <f>G8/'Tabell 8'!G22*100</f>
        <v>78.108281617804408</v>
      </c>
      <c r="H9" s="8">
        <f>H8/'Tabell 8'!H22*100</f>
        <v>70.47781999345797</v>
      </c>
      <c r="I9" s="8">
        <f>I8/'Tabell 8'!I22*100</f>
        <v>67.441860465116278</v>
      </c>
      <c r="J9" s="8">
        <f>J8/'Tabell 8'!J22*100</f>
        <v>65.099544255217083</v>
      </c>
      <c r="K9" s="8">
        <f>K8/'Tabell 8'!K22*100</f>
        <v>63.507865186079393</v>
      </c>
      <c r="L9" s="8">
        <f>L8/'Tabell 8'!L22*100</f>
        <v>64.086055866782814</v>
      </c>
      <c r="M9" s="8">
        <f>M8/'Tabell 8'!M22*100</f>
        <v>66.101986079344485</v>
      </c>
    </row>
    <row r="10" spans="2:13" x14ac:dyDescent="0.25">
      <c r="B10" s="2"/>
      <c r="C10" s="2"/>
      <c r="D10" s="2"/>
      <c r="E10" s="2"/>
      <c r="F10" s="2"/>
      <c r="G10" s="2"/>
      <c r="H10" s="2"/>
      <c r="I10" s="2"/>
      <c r="J10" s="2"/>
      <c r="K10" s="2"/>
      <c r="L10" s="23"/>
      <c r="M10" s="23"/>
    </row>
    <row r="11" spans="2:13" x14ac:dyDescent="0.25">
      <c r="B11" s="22" t="s">
        <v>85</v>
      </c>
      <c r="C11" s="2">
        <v>452</v>
      </c>
      <c r="D11" s="2">
        <v>459</v>
      </c>
      <c r="E11" s="2">
        <v>447</v>
      </c>
      <c r="F11" s="2">
        <v>423</v>
      </c>
      <c r="G11" s="2">
        <v>408</v>
      </c>
      <c r="H11" s="2">
        <v>408</v>
      </c>
      <c r="I11" s="2">
        <v>386</v>
      </c>
      <c r="J11" s="2">
        <v>389</v>
      </c>
      <c r="K11" s="2">
        <v>400</v>
      </c>
      <c r="L11" s="20">
        <v>410.52357357357403</v>
      </c>
      <c r="M11" s="20">
        <v>423</v>
      </c>
    </row>
    <row r="12" spans="2:13" x14ac:dyDescent="0.25">
      <c r="B12" s="14" t="s">
        <v>86</v>
      </c>
      <c r="C12" s="8">
        <f>C11/'Tabell 3'!C5*100</f>
        <v>4.572461373491862</v>
      </c>
      <c r="D12" s="8">
        <f>D11/'Tabell 3'!D5*100</f>
        <v>4.7469172616113315</v>
      </c>
      <c r="E12" s="8">
        <f>E11/'Tabell 3'!E5*100</f>
        <v>4.9376352004418473</v>
      </c>
      <c r="F12" s="8">
        <f>F11/'Tabell 3'!F5*100</f>
        <v>5.0071813002099148</v>
      </c>
      <c r="G12" s="8">
        <f>G11/'Tabell 3'!G5*100</f>
        <v>5.0684698935372863</v>
      </c>
      <c r="H12" s="8">
        <f>H11/'Tabell 3'!H5*100</f>
        <v>5.2173357061412382</v>
      </c>
      <c r="I12" s="8">
        <f>I11/'Tabell 3'!I5*100</f>
        <v>5.0010256853197443</v>
      </c>
      <c r="J12" s="8">
        <f>J11/'Tabell 3'!J5*100</f>
        <v>4.8877124500548668</v>
      </c>
      <c r="K12" s="8">
        <f>K11/'Tabell 3'!K5*100</f>
        <v>5.4933107497224727</v>
      </c>
      <c r="L12" s="8">
        <f>L11/'Tabell 3'!L5*100</f>
        <v>5.7690620869114317</v>
      </c>
      <c r="M12" s="8">
        <f>M11/'Tabell 3'!M5*100</f>
        <v>5.9569074778200255</v>
      </c>
    </row>
    <row r="13" spans="2:13" x14ac:dyDescent="0.25">
      <c r="B13" s="14"/>
      <c r="C13" s="8"/>
      <c r="D13" s="8"/>
      <c r="E13" s="8"/>
      <c r="F13" s="8"/>
      <c r="G13" s="8"/>
      <c r="H13" s="8"/>
      <c r="I13" s="8"/>
      <c r="J13" s="8"/>
      <c r="K13" s="8"/>
      <c r="L13" s="8"/>
      <c r="M13" s="8"/>
    </row>
    <row r="14" spans="2:13" x14ac:dyDescent="0.25">
      <c r="B14" s="22" t="s">
        <v>329</v>
      </c>
      <c r="C14" s="75" t="s">
        <v>282</v>
      </c>
      <c r="D14" s="75" t="s">
        <v>282</v>
      </c>
      <c r="E14" s="75" t="s">
        <v>282</v>
      </c>
      <c r="F14" s="75" t="s">
        <v>282</v>
      </c>
      <c r="G14" s="8">
        <v>33</v>
      </c>
      <c r="H14" s="8">
        <v>204</v>
      </c>
      <c r="I14" s="8">
        <v>233</v>
      </c>
      <c r="J14" s="8">
        <v>236</v>
      </c>
      <c r="K14" s="8">
        <v>195</v>
      </c>
      <c r="L14" s="8">
        <v>182</v>
      </c>
      <c r="M14" s="8">
        <v>191</v>
      </c>
    </row>
    <row r="15" spans="2:13" x14ac:dyDescent="0.25">
      <c r="B15" s="11"/>
    </row>
    <row r="16" spans="2:13" ht="32.25" customHeight="1" x14ac:dyDescent="0.25">
      <c r="B16" s="14" t="s">
        <v>334</v>
      </c>
      <c r="C16" s="95"/>
      <c r="D16" s="95"/>
      <c r="E16" s="95"/>
      <c r="F16"/>
      <c r="G16"/>
      <c r="H16"/>
      <c r="I16"/>
      <c r="J16"/>
      <c r="K16"/>
      <c r="L16"/>
      <c r="M16"/>
    </row>
    <row r="17" spans="2:13" ht="12" customHeight="1" x14ac:dyDescent="0.25">
      <c r="B17" s="96" t="s">
        <v>335</v>
      </c>
      <c r="C17" s="95"/>
      <c r="D17" s="95"/>
      <c r="E17" s="95"/>
      <c r="F17"/>
      <c r="G17"/>
      <c r="H17"/>
      <c r="I17"/>
      <c r="J17"/>
      <c r="K17"/>
      <c r="L17"/>
      <c r="M17"/>
    </row>
    <row r="18" spans="2:13" ht="12" customHeight="1" x14ac:dyDescent="0.25">
      <c r="B18" s="96" t="s">
        <v>333</v>
      </c>
      <c r="C18" s="95"/>
      <c r="D18" s="95"/>
      <c r="E18" s="95"/>
      <c r="F18"/>
      <c r="G18"/>
      <c r="H18"/>
      <c r="I18"/>
      <c r="J18"/>
      <c r="K18"/>
      <c r="L18"/>
      <c r="M18"/>
    </row>
    <row r="19" spans="2:13" ht="15" customHeight="1" x14ac:dyDescent="0.25">
      <c r="B19" s="96" t="s">
        <v>302</v>
      </c>
      <c r="C19"/>
      <c r="D19"/>
      <c r="E19"/>
      <c r="F19"/>
      <c r="G19"/>
      <c r="H19"/>
      <c r="I19"/>
      <c r="J19"/>
      <c r="K19"/>
      <c r="L19"/>
      <c r="M19"/>
    </row>
    <row r="20" spans="2:13" ht="16.5" customHeight="1" x14ac:dyDescent="0.25">
      <c r="B20" s="96" t="s">
        <v>303</v>
      </c>
      <c r="C20" s="14"/>
      <c r="D20" s="14"/>
      <c r="E20" s="14"/>
      <c r="F20" s="14"/>
      <c r="G20" s="14"/>
      <c r="H20" s="14"/>
      <c r="I20" s="14"/>
      <c r="J20" s="14"/>
      <c r="K20" s="14"/>
      <c r="L20" s="14"/>
      <c r="M20" s="14"/>
    </row>
    <row r="21" spans="2:13" ht="16.5" customHeight="1" x14ac:dyDescent="0.25">
      <c r="B21" s="14" t="s">
        <v>328</v>
      </c>
      <c r="C21" s="14"/>
      <c r="D21" s="14"/>
      <c r="E21" s="14"/>
      <c r="F21" s="14"/>
      <c r="G21" s="14"/>
      <c r="H21" s="14"/>
      <c r="I21" s="14"/>
      <c r="J21" s="14"/>
      <c r="K21" s="14"/>
      <c r="L21" s="14"/>
      <c r="M21" s="14"/>
    </row>
    <row r="22" spans="2:13" x14ac:dyDescent="0.25">
      <c r="B22" s="98"/>
      <c r="C22" s="99"/>
      <c r="D22" s="99"/>
      <c r="E22" s="99"/>
      <c r="F22" s="99"/>
      <c r="G22" s="99"/>
      <c r="I22" s="99"/>
      <c r="K22" s="99"/>
    </row>
    <row r="23" spans="2:13" x14ac:dyDescent="0.25">
      <c r="B23" s="28"/>
    </row>
    <row r="24" spans="2:13" x14ac:dyDescent="0.25">
      <c r="B24" s="2"/>
    </row>
    <row r="25" spans="2:13" x14ac:dyDescent="0.25">
      <c r="B25" s="22"/>
    </row>
    <row r="26" spans="2:13" x14ac:dyDescent="0.25">
      <c r="B26" s="6"/>
    </row>
    <row r="27" spans="2:13" x14ac:dyDescent="0.25">
      <c r="B27" s="6"/>
    </row>
    <row r="28" spans="2:13" x14ac:dyDescent="0.25">
      <c r="B28" s="6"/>
    </row>
    <row r="29" spans="2:13" x14ac:dyDescent="0.25">
      <c r="B29" s="7"/>
    </row>
    <row r="32" spans="2:13" ht="18.75" x14ac:dyDescent="0.3">
      <c r="B32" s="15" t="s">
        <v>274</v>
      </c>
      <c r="C32" s="16">
        <v>2014</v>
      </c>
      <c r="D32" s="16">
        <v>2015</v>
      </c>
      <c r="E32" s="16">
        <v>2016</v>
      </c>
      <c r="F32" s="16">
        <v>2017</v>
      </c>
      <c r="G32" s="16">
        <v>2018</v>
      </c>
      <c r="H32" s="16">
        <v>2019</v>
      </c>
      <c r="I32" s="16">
        <v>2020</v>
      </c>
      <c r="J32" s="16">
        <v>2021</v>
      </c>
      <c r="K32" s="16">
        <v>2022</v>
      </c>
      <c r="L32" s="16">
        <v>2023</v>
      </c>
      <c r="M32" s="16">
        <v>2024</v>
      </c>
    </row>
    <row r="33" spans="2:14" x14ac:dyDescent="0.25">
      <c r="B33" s="22" t="s">
        <v>349</v>
      </c>
      <c r="C33" s="81">
        <v>178</v>
      </c>
      <c r="D33" s="81">
        <v>177</v>
      </c>
      <c r="E33" s="81">
        <v>181</v>
      </c>
      <c r="F33" s="81">
        <v>198</v>
      </c>
      <c r="G33" s="2">
        <v>199</v>
      </c>
      <c r="H33" s="2">
        <v>225</v>
      </c>
      <c r="I33" s="2">
        <v>227</v>
      </c>
      <c r="J33" s="2">
        <v>234</v>
      </c>
      <c r="K33" s="69">
        <v>235</v>
      </c>
      <c r="L33" s="69">
        <v>227</v>
      </c>
      <c r="M33" s="69">
        <v>228</v>
      </c>
    </row>
    <row r="34" spans="2:14" x14ac:dyDescent="0.25">
      <c r="B34" s="14" t="s">
        <v>84</v>
      </c>
      <c r="C34" s="82">
        <f>C33/'Tabell 8'!C48*100</f>
        <v>6.1126373626373622</v>
      </c>
      <c r="D34" s="82">
        <f>D33/'Tabell 8'!D48*100</f>
        <v>6.2148876404494384</v>
      </c>
      <c r="E34" s="82">
        <f>E33/'Tabell 8'!E48*100</f>
        <v>6.2242090784044013</v>
      </c>
      <c r="F34" s="82">
        <f>F33/'Tabell 8'!F48*100</f>
        <v>7.043756670224119</v>
      </c>
      <c r="G34" s="82">
        <f>G33/'Tabell 8'!G48*100</f>
        <v>7.3813056379821953</v>
      </c>
      <c r="H34" s="82">
        <f>H33/'Tabell 8'!H48*100</f>
        <v>8.2478005865102642</v>
      </c>
      <c r="I34" s="82">
        <f>I33/'Tabell 8'!I48*100</f>
        <v>8.8395638629283493</v>
      </c>
      <c r="J34" s="82">
        <f>J33/'Tabell 8'!J48*100</f>
        <v>9.0909090909090917</v>
      </c>
      <c r="K34" s="82">
        <f>K33/'Tabell 8'!K48*100</f>
        <v>8.3659665361338558</v>
      </c>
      <c r="L34" s="82">
        <f>L33/'Tabell 8'!L48*100</f>
        <v>7.8383977900552484</v>
      </c>
      <c r="M34" s="82">
        <f>M33/'Tabell 8'!M48*100</f>
        <v>7.3524669461464045</v>
      </c>
    </row>
    <row r="35" spans="2:14" x14ac:dyDescent="0.25">
      <c r="B35" s="2"/>
      <c r="C35" s="81"/>
      <c r="D35" s="81"/>
      <c r="E35" s="81"/>
      <c r="F35" s="81"/>
      <c r="G35" s="2"/>
      <c r="H35" s="2"/>
      <c r="I35" s="2"/>
      <c r="J35" s="2"/>
      <c r="K35" s="2"/>
      <c r="L35" s="2"/>
      <c r="M35" s="2"/>
    </row>
    <row r="36" spans="2:14" x14ac:dyDescent="0.25">
      <c r="B36" s="22" t="s">
        <v>242</v>
      </c>
      <c r="C36" s="83">
        <v>2308</v>
      </c>
      <c r="D36" s="83">
        <v>2306</v>
      </c>
      <c r="E36" s="83">
        <v>2105</v>
      </c>
      <c r="F36" s="83">
        <v>2034</v>
      </c>
      <c r="G36" s="10">
        <v>2049</v>
      </c>
      <c r="H36" s="10">
        <v>2041</v>
      </c>
      <c r="I36" s="10">
        <v>2026</v>
      </c>
      <c r="J36" s="10">
        <v>2077</v>
      </c>
      <c r="K36" s="10">
        <v>2053</v>
      </c>
      <c r="L36" s="10">
        <v>2023</v>
      </c>
      <c r="M36" s="10">
        <v>2034</v>
      </c>
    </row>
    <row r="37" spans="2:14" x14ac:dyDescent="0.25">
      <c r="B37" s="14" t="s">
        <v>84</v>
      </c>
      <c r="C37" s="82">
        <f>C36/'Tabell 8'!C48*100</f>
        <v>79.258241758241752</v>
      </c>
      <c r="D37" s="82">
        <f>D36/'Tabell 8'!D48*100</f>
        <v>80.969101123595507</v>
      </c>
      <c r="E37" s="82">
        <f>E36/'Tabell 8'!E48*100</f>
        <v>72.386519944979369</v>
      </c>
      <c r="F37" s="82">
        <f>F36/'Tabell 8'!F48*100</f>
        <v>72.358591248665959</v>
      </c>
      <c r="G37" s="82">
        <f>G36/'Tabell 8'!G48*100</f>
        <v>76.001483679525222</v>
      </c>
      <c r="H37" s="82">
        <f>H36/'Tabell 8'!H48*100</f>
        <v>74.81671554252199</v>
      </c>
      <c r="I37" s="82">
        <f>I36/'Tabell 8'!I48*100</f>
        <v>78.894080996884725</v>
      </c>
      <c r="J37" s="82">
        <f>J36/'Tabell 8'!J48*100</f>
        <v>80.691530691530687</v>
      </c>
      <c r="K37" s="82">
        <f>K36/'Tabell 8'!K48*100</f>
        <v>73.086507653969377</v>
      </c>
      <c r="L37" s="82">
        <f>L36/'Tabell 8'!L48*100</f>
        <v>69.854972375690608</v>
      </c>
      <c r="M37" s="82">
        <f>M36/'Tabell 8'!M48*100</f>
        <v>65.591744598516613</v>
      </c>
    </row>
    <row r="38" spans="2:14" x14ac:dyDescent="0.25">
      <c r="B38" s="2"/>
      <c r="C38" s="81"/>
      <c r="D38" s="81"/>
      <c r="E38" s="81"/>
      <c r="F38" s="81"/>
      <c r="G38" s="2"/>
      <c r="H38" s="2"/>
      <c r="I38" s="2"/>
      <c r="J38" s="2"/>
      <c r="K38" s="2"/>
      <c r="L38" s="2"/>
      <c r="M38" s="2"/>
    </row>
    <row r="39" spans="2:14" x14ac:dyDescent="0.25">
      <c r="B39" s="22" t="s">
        <v>315</v>
      </c>
      <c r="C39" s="81">
        <v>222</v>
      </c>
      <c r="D39" s="81">
        <v>200</v>
      </c>
      <c r="E39" s="81">
        <v>200</v>
      </c>
      <c r="F39" s="81">
        <v>221</v>
      </c>
      <c r="G39" s="2">
        <v>221</v>
      </c>
      <c r="H39" s="2">
        <v>228</v>
      </c>
      <c r="I39" s="2">
        <v>223</v>
      </c>
      <c r="J39" s="2">
        <v>235</v>
      </c>
      <c r="K39" s="69">
        <v>285</v>
      </c>
      <c r="L39" s="2">
        <v>281</v>
      </c>
      <c r="M39" s="2">
        <v>278</v>
      </c>
    </row>
    <row r="40" spans="2:14" x14ac:dyDescent="0.25">
      <c r="B40" s="14" t="s">
        <v>86</v>
      </c>
      <c r="C40" s="82">
        <f>C39/'Tabell 3'!C32*100</f>
        <v>6.7170953101361581</v>
      </c>
      <c r="D40" s="82">
        <f>D39/'Tabell 3'!D32*100</f>
        <v>6.0569351907934585</v>
      </c>
      <c r="E40" s="82">
        <f>E39/'Tabell 3'!E32*100</f>
        <v>6.1255742725880555</v>
      </c>
      <c r="F40" s="82">
        <f>F39/'Tabell 3'!F32*100</f>
        <v>6.945317410433689</v>
      </c>
      <c r="G40" s="82">
        <f>G39/'Tabell 3'!G32*100</f>
        <v>6.9826224328593991</v>
      </c>
      <c r="H40" s="82">
        <f>H39/'Tabell 3'!H32*100</f>
        <v>7.0218663381583006</v>
      </c>
      <c r="I40" s="82">
        <f>I39/'Tabell 3'!I32*100</f>
        <v>6.7371601208459211</v>
      </c>
      <c r="J40" s="82">
        <f>J39/'Tabell 3'!J32*100</f>
        <v>6.9362455726092094</v>
      </c>
      <c r="K40" s="82">
        <f>K39/'Tabell 3'!K32*100</f>
        <v>7.4881765633210726</v>
      </c>
      <c r="L40" s="82">
        <f>L39/'Tabell 3'!L32*100</f>
        <v>6.8805093046033301</v>
      </c>
      <c r="M40" s="82">
        <f>M39/'Tabell 3'!M32*100</f>
        <v>6.4907774924118602</v>
      </c>
    </row>
    <row r="41" spans="2:14" x14ac:dyDescent="0.25">
      <c r="B41" s="11"/>
    </row>
    <row r="42" spans="2:14" x14ac:dyDescent="0.25">
      <c r="B42" s="65" t="s">
        <v>377</v>
      </c>
      <c r="K42" s="68"/>
      <c r="L42" s="91"/>
      <c r="M42" s="91"/>
    </row>
    <row r="43" spans="2:14" x14ac:dyDescent="0.25">
      <c r="B43" s="65" t="s">
        <v>347</v>
      </c>
      <c r="N43" s="86"/>
    </row>
    <row r="44" spans="2:14" x14ac:dyDescent="0.25">
      <c r="B44" s="12" t="s">
        <v>336</v>
      </c>
    </row>
    <row r="45" spans="2:14" x14ac:dyDescent="0.25">
      <c r="B45" s="12" t="s">
        <v>337</v>
      </c>
      <c r="C45" s="76"/>
      <c r="D45" s="77"/>
      <c r="E45" s="76"/>
      <c r="F45" s="76"/>
    </row>
    <row r="46" spans="2:14" x14ac:dyDescent="0.25">
      <c r="B46" s="65" t="s">
        <v>348</v>
      </c>
      <c r="C46" s="76"/>
      <c r="D46" s="77"/>
      <c r="E46" s="76"/>
      <c r="F46" s="76"/>
    </row>
    <row r="47" spans="2:14" x14ac:dyDescent="0.25">
      <c r="B47" s="13" t="s">
        <v>352</v>
      </c>
      <c r="C47" s="76"/>
      <c r="D47" s="77"/>
      <c r="E47" s="76"/>
      <c r="F47" s="76"/>
    </row>
    <row r="48" spans="2:14" x14ac:dyDescent="0.25">
      <c r="B48" s="65" t="s">
        <v>353</v>
      </c>
    </row>
    <row r="49" spans="2:22" x14ac:dyDescent="0.25">
      <c r="B49" s="28"/>
      <c r="C49" s="78"/>
      <c r="D49" s="78"/>
      <c r="E49" s="78"/>
      <c r="F49" s="78"/>
    </row>
    <row r="50" spans="2:22" x14ac:dyDescent="0.25">
      <c r="B50" s="28"/>
      <c r="C50" s="78"/>
      <c r="D50" s="78"/>
      <c r="E50" s="78"/>
      <c r="F50" s="78"/>
    </row>
    <row r="51" spans="2:22" x14ac:dyDescent="0.25">
      <c r="B51" s="2"/>
      <c r="C51" s="78"/>
      <c r="D51" s="78"/>
      <c r="E51" s="78"/>
      <c r="F51" s="78"/>
    </row>
    <row r="52" spans="2:22" x14ac:dyDescent="0.25">
      <c r="B52" s="6"/>
    </row>
    <row r="53" spans="2:22" x14ac:dyDescent="0.25">
      <c r="B53" s="6"/>
    </row>
    <row r="54" spans="2:22" x14ac:dyDescent="0.25">
      <c r="B54" s="6"/>
    </row>
    <row r="55" spans="2:22" x14ac:dyDescent="0.25">
      <c r="B55" s="7"/>
    </row>
    <row r="58" spans="2:22" ht="18.75" x14ac:dyDescent="0.3">
      <c r="B58" s="15" t="s">
        <v>350</v>
      </c>
      <c r="C58" s="16">
        <v>2014</v>
      </c>
      <c r="D58" s="16">
        <v>2015</v>
      </c>
      <c r="E58" s="16">
        <v>2016</v>
      </c>
      <c r="F58" s="16">
        <v>2017</v>
      </c>
      <c r="G58" s="16">
        <v>2018</v>
      </c>
      <c r="H58" s="16">
        <v>2019</v>
      </c>
      <c r="I58" s="16">
        <v>2020</v>
      </c>
      <c r="J58" s="16">
        <v>2021</v>
      </c>
      <c r="K58" s="16">
        <v>2022</v>
      </c>
      <c r="L58" s="16">
        <v>2023</v>
      </c>
      <c r="M58" s="16">
        <v>2024</v>
      </c>
    </row>
    <row r="59" spans="2:22" x14ac:dyDescent="0.25">
      <c r="B59" s="22" t="s">
        <v>87</v>
      </c>
      <c r="C59" s="69">
        <v>13.45</v>
      </c>
      <c r="D59" s="69">
        <v>13.5</v>
      </c>
      <c r="E59" s="69">
        <v>14</v>
      </c>
      <c r="F59" s="69">
        <v>15</v>
      </c>
      <c r="G59" s="2">
        <v>15</v>
      </c>
      <c r="H59" s="69">
        <v>15.5</v>
      </c>
      <c r="I59" s="69">
        <v>15.1</v>
      </c>
      <c r="J59" s="69">
        <v>16.5</v>
      </c>
      <c r="K59" s="69">
        <v>17.2</v>
      </c>
      <c r="L59" s="69">
        <v>17</v>
      </c>
      <c r="M59" s="69">
        <v>17.399999999999999</v>
      </c>
      <c r="N59" s="123"/>
      <c r="O59" s="123"/>
      <c r="P59" s="123"/>
      <c r="Q59" s="123"/>
      <c r="R59" s="123"/>
      <c r="S59" s="123"/>
      <c r="T59" s="123"/>
      <c r="U59" s="123"/>
      <c r="V59" s="123"/>
    </row>
    <row r="60" spans="2:22" x14ac:dyDescent="0.25">
      <c r="B60" s="14" t="s">
        <v>84</v>
      </c>
      <c r="C60" s="80">
        <f>C59/'Tabell 8'!C74*100</f>
        <v>9.4851904090267976</v>
      </c>
      <c r="D60" s="80">
        <f>D59/'Tabell 8'!D74*100</f>
        <v>9.2904824169017957</v>
      </c>
      <c r="E60" s="80">
        <f>E59/'Tabell 8'!E74*100</f>
        <v>11.191047162270184</v>
      </c>
      <c r="F60" s="80">
        <f>F59/'Tabell 8'!F74*100</f>
        <v>10.830324909747292</v>
      </c>
      <c r="G60" s="80">
        <f>G59/'Tabell 8'!G74*100</f>
        <v>10.678436676870504</v>
      </c>
      <c r="H60" s="80">
        <f>H59/'Tabell 8'!H74*100</f>
        <v>9.8537825810553077</v>
      </c>
      <c r="I60" s="80">
        <f>I59/'Tabell 8'!I74*100</f>
        <v>11.852433281004709</v>
      </c>
      <c r="J60" s="80">
        <f>J59/'Tabell 8'!J74*100</f>
        <v>12.132352941176471</v>
      </c>
      <c r="K60" s="80">
        <f>K59/'Tabell 8'!K74*100</f>
        <v>12.061711079943899</v>
      </c>
      <c r="L60" s="80">
        <f>L59/'Tabell 8'!L74*100</f>
        <v>11.478730587440916</v>
      </c>
      <c r="M60" s="80">
        <f>M59/'Tabell 8'!M74*100</f>
        <v>12.554112554112551</v>
      </c>
      <c r="N60" s="123"/>
      <c r="O60" s="123"/>
      <c r="P60" s="123"/>
      <c r="Q60" s="123"/>
      <c r="R60" s="123"/>
      <c r="S60" s="123"/>
      <c r="T60" s="123"/>
      <c r="U60" s="123"/>
      <c r="V60" s="123"/>
    </row>
    <row r="61" spans="2:22" x14ac:dyDescent="0.25">
      <c r="B61" s="2"/>
      <c r="C61" s="2"/>
      <c r="D61" s="2"/>
      <c r="E61" s="2"/>
      <c r="F61" s="2"/>
      <c r="G61" s="2"/>
      <c r="H61" s="2"/>
      <c r="I61" s="2"/>
      <c r="J61" s="2"/>
      <c r="K61" s="2"/>
      <c r="L61" s="2"/>
      <c r="M61" s="2"/>
      <c r="N61" s="123"/>
      <c r="O61" s="123"/>
      <c r="P61" s="123"/>
      <c r="Q61" s="123"/>
      <c r="R61" s="123"/>
      <c r="S61" s="123"/>
      <c r="T61" s="123"/>
      <c r="U61" s="123"/>
      <c r="V61" s="123"/>
    </row>
    <row r="62" spans="2:22" x14ac:dyDescent="0.25">
      <c r="B62" s="22" t="s">
        <v>275</v>
      </c>
      <c r="C62" s="69">
        <v>117.48</v>
      </c>
      <c r="D62" s="69">
        <v>113.52</v>
      </c>
      <c r="E62" s="69">
        <v>105</v>
      </c>
      <c r="F62" s="69">
        <v>111</v>
      </c>
      <c r="G62" s="2">
        <v>112</v>
      </c>
      <c r="H62" s="2">
        <v>114</v>
      </c>
      <c r="I62" s="69">
        <v>113.1</v>
      </c>
      <c r="J62" s="69">
        <v>119.6</v>
      </c>
      <c r="K62" s="69">
        <v>134.69999999999999</v>
      </c>
      <c r="L62" s="69">
        <v>137.6</v>
      </c>
      <c r="M62" s="69">
        <v>142</v>
      </c>
    </row>
    <row r="63" spans="2:22" x14ac:dyDescent="0.25">
      <c r="B63" s="14" t="s">
        <v>84</v>
      </c>
      <c r="C63" s="80">
        <f>C62/'Tabell 8'!C74*100</f>
        <v>82.849083215796895</v>
      </c>
      <c r="D63" s="80">
        <f>D62/'Tabell 8'!D74*100</f>
        <v>78.122634367903103</v>
      </c>
      <c r="E63" s="80">
        <f>E62/'Tabell 8'!E74*100</f>
        <v>83.932853717026376</v>
      </c>
      <c r="F63" s="80">
        <f>F62/'Tabell 8'!F74*100</f>
        <v>80.144404332129966</v>
      </c>
      <c r="G63" s="80">
        <f>G62/'Tabell 8'!G74*100</f>
        <v>79.732327187299774</v>
      </c>
      <c r="H63" s="80">
        <f>H62/'Tabell 8'!H74*100</f>
        <v>72.472981563890642</v>
      </c>
      <c r="I63" s="80">
        <f>I62/'Tabell 8'!I74*100</f>
        <v>88.775510204081627</v>
      </c>
      <c r="J63" s="80">
        <f>J62/'Tabell 8'!J74*100</f>
        <v>87.941176470588232</v>
      </c>
      <c r="K63" s="80">
        <f>K62/'Tabell 8'!K74*100</f>
        <v>94.460028050490877</v>
      </c>
      <c r="L63" s="80">
        <f>L62/'Tabell 8'!L74*100</f>
        <v>92.910195813639419</v>
      </c>
      <c r="M63" s="80">
        <f>M62/'Tabell 8'!M74*100</f>
        <v>102.45310245310245</v>
      </c>
    </row>
    <row r="64" spans="2:22" x14ac:dyDescent="0.25">
      <c r="B64" s="2"/>
      <c r="C64" s="2"/>
      <c r="D64" s="2"/>
      <c r="E64" s="2"/>
      <c r="F64" s="2"/>
      <c r="G64" s="2"/>
      <c r="H64" s="2"/>
      <c r="I64" s="2"/>
      <c r="J64" s="2"/>
      <c r="K64" s="2"/>
      <c r="L64" s="2"/>
      <c r="M64" s="2"/>
    </row>
    <row r="65" spans="2:13" x14ac:dyDescent="0.25">
      <c r="B65" s="22" t="s">
        <v>85</v>
      </c>
      <c r="C65" s="69">
        <v>4.5</v>
      </c>
      <c r="D65" s="69">
        <v>4.5</v>
      </c>
      <c r="E65" s="69">
        <v>5</v>
      </c>
      <c r="F65" s="69">
        <v>5</v>
      </c>
      <c r="G65" s="2">
        <v>5</v>
      </c>
      <c r="H65" s="69">
        <v>5.5</v>
      </c>
      <c r="I65" s="69">
        <v>5.5</v>
      </c>
      <c r="J65" s="69">
        <v>5</v>
      </c>
      <c r="K65" s="69">
        <v>6</v>
      </c>
      <c r="L65" s="69">
        <v>6</v>
      </c>
      <c r="M65" s="69">
        <v>6</v>
      </c>
    </row>
    <row r="66" spans="2:13" x14ac:dyDescent="0.25">
      <c r="B66" s="14" t="s">
        <v>86</v>
      </c>
      <c r="C66" s="80">
        <f>C65/'Tabell 3'!C59*100</f>
        <v>2.083333333333333</v>
      </c>
      <c r="D66" s="80">
        <f>D65/'Tabell 3'!D59*100</f>
        <v>1.875</v>
      </c>
      <c r="E66" s="80">
        <f>E65/'Tabell 3'!E59*100</f>
        <v>2</v>
      </c>
      <c r="F66" s="80">
        <f>F65/'Tabell 3'!F59*100</f>
        <v>2.0964360587002098</v>
      </c>
      <c r="G66" s="80">
        <f>G65/'Tabell 3'!G59*100</f>
        <v>1.9364833462432223</v>
      </c>
      <c r="H66" s="80">
        <f>H65/'Tabell 3'!H59*100</f>
        <v>2.1958717610891525</v>
      </c>
      <c r="I66" s="80">
        <f>I65/'Tabell 3'!I59*100</f>
        <v>2.1227325357005014</v>
      </c>
      <c r="J66" s="80">
        <f>J65/'Tabell 3'!J59*100</f>
        <v>1.9062142584826536</v>
      </c>
      <c r="K66" s="80">
        <f>K65/'Tabell 3'!K59*100</f>
        <v>1.9569471624266144</v>
      </c>
      <c r="L66" s="80">
        <f>L65/'Tabell 3'!L59*100</f>
        <v>2.1606049693914295</v>
      </c>
      <c r="M66" s="80">
        <f>M65/'Tabell 3'!M59*100</f>
        <v>2.0070245860511791</v>
      </c>
    </row>
    <row r="67" spans="2:13" x14ac:dyDescent="0.25">
      <c r="B67" s="11"/>
    </row>
    <row r="68" spans="2:13" x14ac:dyDescent="0.25">
      <c r="B68" s="65" t="s">
        <v>296</v>
      </c>
    </row>
    <row r="69" spans="2:13" x14ac:dyDescent="0.25">
      <c r="B69" s="65" t="s">
        <v>297</v>
      </c>
    </row>
    <row r="70" spans="2:13" x14ac:dyDescent="0.25">
      <c r="B70" s="2"/>
      <c r="C70" s="68"/>
      <c r="D70" s="68"/>
      <c r="E70" s="68"/>
      <c r="F70" s="68"/>
      <c r="G70" s="68"/>
      <c r="H70" s="68"/>
      <c r="I70" s="68"/>
      <c r="J70" s="68"/>
      <c r="K70" s="68"/>
      <c r="L70" s="68"/>
      <c r="M70" s="68"/>
    </row>
    <row r="71" spans="2:13" x14ac:dyDescent="0.25">
      <c r="B71" s="22"/>
    </row>
    <row r="72" spans="2:13" x14ac:dyDescent="0.25">
      <c r="B72" s="28"/>
    </row>
    <row r="73" spans="2:13" x14ac:dyDescent="0.25">
      <c r="B73" s="11"/>
    </row>
    <row r="74" spans="2:13" x14ac:dyDescent="0.25">
      <c r="B74" s="28"/>
    </row>
    <row r="75" spans="2:13" x14ac:dyDescent="0.25">
      <c r="B75" s="28"/>
    </row>
    <row r="76" spans="2:13" x14ac:dyDescent="0.25">
      <c r="B76" s="2"/>
    </row>
    <row r="77" spans="2:13" x14ac:dyDescent="0.25">
      <c r="B77" s="22"/>
    </row>
    <row r="78" spans="2:13" x14ac:dyDescent="0.25">
      <c r="B78" s="6"/>
    </row>
    <row r="79" spans="2:13" x14ac:dyDescent="0.25">
      <c r="B79" s="6"/>
    </row>
    <row r="80" spans="2:13" x14ac:dyDescent="0.25">
      <c r="B80" s="6"/>
    </row>
    <row r="81" spans="2:13" x14ac:dyDescent="0.25">
      <c r="B81" s="7"/>
    </row>
    <row r="84" spans="2:13" ht="18.75" x14ac:dyDescent="0.3">
      <c r="B84" s="15" t="s">
        <v>124</v>
      </c>
      <c r="C84" s="16">
        <v>2014</v>
      </c>
      <c r="D84" s="16">
        <v>2015</v>
      </c>
      <c r="E84" s="16">
        <v>2016</v>
      </c>
      <c r="F84" s="16">
        <v>2017</v>
      </c>
      <c r="G84" s="16">
        <v>2018</v>
      </c>
      <c r="H84" s="16">
        <v>2019</v>
      </c>
      <c r="I84" s="16">
        <v>2020</v>
      </c>
      <c r="J84" s="16">
        <v>2021</v>
      </c>
      <c r="K84" s="16">
        <v>2022</v>
      </c>
      <c r="L84" s="16">
        <v>2023</v>
      </c>
      <c r="M84" s="16">
        <v>2024</v>
      </c>
    </row>
    <row r="85" spans="2:13" x14ac:dyDescent="0.25">
      <c r="B85" s="22" t="s">
        <v>87</v>
      </c>
      <c r="C85" s="69">
        <v>220.9</v>
      </c>
      <c r="D85" s="69">
        <v>217.1</v>
      </c>
      <c r="E85" s="69">
        <v>218.5</v>
      </c>
      <c r="F85" s="69">
        <v>218.8</v>
      </c>
      <c r="G85" s="69">
        <v>226.8</v>
      </c>
      <c r="H85" s="69">
        <v>227.4</v>
      </c>
      <c r="I85" s="69">
        <v>244.1</v>
      </c>
      <c r="J85" s="69">
        <v>245</v>
      </c>
      <c r="K85" s="69">
        <v>230.9</v>
      </c>
      <c r="L85" s="69">
        <v>256</v>
      </c>
      <c r="M85" s="69">
        <v>249.3</v>
      </c>
    </row>
    <row r="86" spans="2:13" x14ac:dyDescent="0.25">
      <c r="B86" s="14" t="s">
        <v>279</v>
      </c>
      <c r="C86" s="8">
        <f>C85/'Tabell 8'!C101*100</f>
        <v>5.9452127722328401</v>
      </c>
      <c r="D86" s="8">
        <f>D85/'Tabell 8'!D101*100</f>
        <v>5.7955152162306458</v>
      </c>
      <c r="E86" s="8">
        <f>E85/'Tabell 8'!E101*100</f>
        <v>5.6753246753246751</v>
      </c>
      <c r="F86" s="8">
        <f>F85/'Tabell 8'!F101*100</f>
        <v>5.9928786633798961</v>
      </c>
      <c r="G86" s="8">
        <f>G85/'Tabell 8'!G101*100</f>
        <v>6.7663477781631993</v>
      </c>
      <c r="H86" s="8">
        <f>H85/'Tabell 8'!H101*100</f>
        <v>7.0081360946745566</v>
      </c>
      <c r="I86" s="8">
        <f>I85/'Tabell 8'!I101*100</f>
        <v>8.3191329834367131</v>
      </c>
      <c r="J86" s="8">
        <f>J85/'Tabell 8'!J101*100</f>
        <v>7.980456026058631</v>
      </c>
      <c r="K86" s="8">
        <f>K85/'Tabell 8'!K101*100</f>
        <v>7.5113858165256993</v>
      </c>
      <c r="L86" s="8">
        <f>L85/'Tabell 8'!L101*100</f>
        <v>8.5647373703579799</v>
      </c>
      <c r="M86" s="8">
        <f>M85/'Tabell 8'!M101*100</f>
        <v>8.2195845697329375</v>
      </c>
    </row>
    <row r="87" spans="2:13" x14ac:dyDescent="0.25">
      <c r="B87" s="2"/>
      <c r="C87" s="2"/>
      <c r="D87" s="2"/>
      <c r="E87" s="2"/>
      <c r="F87" s="2"/>
      <c r="G87" s="2"/>
      <c r="H87" s="2"/>
      <c r="I87" s="2"/>
      <c r="J87" s="2"/>
      <c r="K87" s="2"/>
      <c r="L87" s="2"/>
      <c r="M87" s="2"/>
    </row>
    <row r="88" spans="2:13" x14ac:dyDescent="0.25">
      <c r="B88" s="22" t="s">
        <v>322</v>
      </c>
      <c r="C88" s="20">
        <v>3530</v>
      </c>
      <c r="D88" s="20">
        <v>3568.8</v>
      </c>
      <c r="E88" s="20">
        <v>3594</v>
      </c>
      <c r="F88" s="20">
        <v>3632.3</v>
      </c>
      <c r="G88" s="10">
        <v>3674.5</v>
      </c>
      <c r="H88" s="10">
        <v>3619</v>
      </c>
      <c r="I88" s="10">
        <v>3632</v>
      </c>
      <c r="J88" s="10">
        <v>3803</v>
      </c>
      <c r="K88" s="10">
        <v>3745.5</v>
      </c>
      <c r="L88" s="10">
        <v>3606</v>
      </c>
      <c r="M88" s="10">
        <v>3492</v>
      </c>
    </row>
    <row r="89" spans="2:13" x14ac:dyDescent="0.25">
      <c r="B89" s="14" t="s">
        <v>84</v>
      </c>
      <c r="C89" s="8">
        <f>C88/'Tabell 8'!C101*100</f>
        <v>95.004984544961175</v>
      </c>
      <c r="D89" s="8">
        <f>D88/'Tabell 8'!D101*100</f>
        <v>95.269620928990932</v>
      </c>
      <c r="E89" s="8">
        <f>E88/'Tabell 8'!E101*100</f>
        <v>93.350649350649348</v>
      </c>
      <c r="F89" s="8">
        <f>F88/'Tabell 8'!F101*100</f>
        <v>99.487811558477134</v>
      </c>
      <c r="G89" s="8">
        <f>G88/'Tabell 8'!G101*100</f>
        <v>109.62497756111409</v>
      </c>
      <c r="H89" s="8">
        <f>H88/'Tabell 8'!H101*100</f>
        <v>111.53229783037474</v>
      </c>
      <c r="I89" s="8">
        <f>I88/'Tabell 8'!I101*100</f>
        <v>123.78160997886989</v>
      </c>
      <c r="J89" s="8">
        <f>J88/'Tabell 8'!J101*100</f>
        <v>123.87622149837134</v>
      </c>
      <c r="K89" s="8">
        <f>K88/'Tabell 8'!K101*100</f>
        <v>121.8445022771633</v>
      </c>
      <c r="L89" s="8">
        <f>L88/'Tabell 8'!L101*100</f>
        <v>120.64235530277685</v>
      </c>
      <c r="M89" s="8">
        <f>M88/'Tabell 8'!M101*100</f>
        <v>115.13353115727003</v>
      </c>
    </row>
    <row r="90" spans="2:13" x14ac:dyDescent="0.25">
      <c r="B90" s="2"/>
      <c r="C90" s="2"/>
      <c r="D90" s="2"/>
      <c r="E90" s="2"/>
      <c r="F90" s="2"/>
      <c r="G90" s="2"/>
      <c r="H90" s="2"/>
      <c r="I90" s="2"/>
      <c r="J90" s="2"/>
      <c r="K90" s="2"/>
      <c r="L90" s="2"/>
      <c r="M90" s="2"/>
    </row>
    <row r="91" spans="2:13" x14ac:dyDescent="0.25">
      <c r="B91" s="22" t="s">
        <v>85</v>
      </c>
      <c r="C91" s="74">
        <v>403.3</v>
      </c>
      <c r="D91" s="74">
        <v>432</v>
      </c>
      <c r="E91" s="74">
        <v>425.6</v>
      </c>
      <c r="F91" s="74">
        <v>432.6</v>
      </c>
      <c r="G91" s="69">
        <v>472.7</v>
      </c>
      <c r="H91" s="69">
        <v>473</v>
      </c>
      <c r="I91" s="69">
        <v>486.2</v>
      </c>
      <c r="J91" s="69">
        <v>505</v>
      </c>
      <c r="K91" s="69">
        <v>502.2</v>
      </c>
      <c r="L91" s="69">
        <v>491</v>
      </c>
      <c r="M91" s="69">
        <v>464</v>
      </c>
    </row>
    <row r="92" spans="2:13" x14ac:dyDescent="0.25">
      <c r="B92" s="14" t="s">
        <v>86</v>
      </c>
      <c r="C92" s="8">
        <f>C91/'Tabell 3'!C85*100</f>
        <v>15.649980597594102</v>
      </c>
      <c r="D92" s="8">
        <f>D91/'Tabell 3'!D85*100</f>
        <v>17.697664891437938</v>
      </c>
      <c r="E92" s="8">
        <f>E91/'Tabell 3'!E85*100</f>
        <v>18.273937312151141</v>
      </c>
      <c r="F92" s="8">
        <f>F91/'Tabell 3'!F85*100</f>
        <v>18.42419080068143</v>
      </c>
      <c r="G92" s="8">
        <f>G91/'Tabell 3'!G85*100</f>
        <v>20.550386922876275</v>
      </c>
      <c r="H92" s="8">
        <f>H91/'Tabell 3'!H85*100</f>
        <v>19.807370184254605</v>
      </c>
      <c r="I92" s="8">
        <f>I91/'Tabell 3'!I85*100</f>
        <v>19.588251883485757</v>
      </c>
      <c r="J92" s="8">
        <f>J91/'Tabell 3'!J85*100</f>
        <v>18.181163594470046</v>
      </c>
      <c r="K92" s="8">
        <f>K91/'Tabell 3'!K85*100</f>
        <v>19.255396648901499</v>
      </c>
      <c r="L92" s="8">
        <f>L91/'Tabell 3'!L85*100</f>
        <v>20.765489532670756</v>
      </c>
      <c r="M92" s="8">
        <f>M91/'Tabell 3'!M85*100</f>
        <v>20.577409197747127</v>
      </c>
    </row>
    <row r="93" spans="2:13" x14ac:dyDescent="0.25">
      <c r="B93" s="11"/>
    </row>
    <row r="94" spans="2:13" x14ac:dyDescent="0.25">
      <c r="B94" s="65" t="s">
        <v>321</v>
      </c>
    </row>
    <row r="95" spans="2:13" x14ac:dyDescent="0.25">
      <c r="B95" s="13" t="s">
        <v>371</v>
      </c>
    </row>
    <row r="96" spans="2:13" x14ac:dyDescent="0.25">
      <c r="B96" s="13" t="s">
        <v>293</v>
      </c>
    </row>
    <row r="98" spans="2:13" x14ac:dyDescent="0.25">
      <c r="B98" s="28"/>
    </row>
    <row r="99" spans="2:13" x14ac:dyDescent="0.25">
      <c r="B99" s="11"/>
    </row>
    <row r="100" spans="2:13" x14ac:dyDescent="0.25">
      <c r="B100" s="28"/>
    </row>
    <row r="101" spans="2:13" x14ac:dyDescent="0.25">
      <c r="B101" s="28"/>
    </row>
    <row r="102" spans="2:13" x14ac:dyDescent="0.25">
      <c r="B102" s="2"/>
    </row>
    <row r="103" spans="2:13" x14ac:dyDescent="0.25">
      <c r="B103" s="22"/>
    </row>
    <row r="104" spans="2:13" x14ac:dyDescent="0.25">
      <c r="B104" s="6"/>
    </row>
    <row r="105" spans="2:13" x14ac:dyDescent="0.25">
      <c r="B105" s="6"/>
    </row>
    <row r="106" spans="2:13" x14ac:dyDescent="0.25">
      <c r="B106" s="6"/>
    </row>
    <row r="107" spans="2:13" x14ac:dyDescent="0.25">
      <c r="B107" s="7"/>
    </row>
    <row r="110" spans="2:13" ht="18.75" x14ac:dyDescent="0.3">
      <c r="B110" s="15" t="s">
        <v>243</v>
      </c>
      <c r="C110" s="16">
        <v>2014</v>
      </c>
      <c r="D110" s="16">
        <v>2015</v>
      </c>
      <c r="E110" s="16">
        <v>2016</v>
      </c>
      <c r="F110" s="16">
        <v>2017</v>
      </c>
      <c r="G110" s="16">
        <v>2018</v>
      </c>
      <c r="H110" s="16">
        <v>2019</v>
      </c>
      <c r="I110" s="16">
        <v>2020</v>
      </c>
      <c r="J110" s="16">
        <v>2021</v>
      </c>
      <c r="K110" s="16">
        <v>2022</v>
      </c>
      <c r="L110" s="16">
        <v>2023</v>
      </c>
      <c r="M110" s="16">
        <v>2024</v>
      </c>
    </row>
    <row r="111" spans="2:13" x14ac:dyDescent="0.25">
      <c r="B111" s="22" t="s">
        <v>241</v>
      </c>
      <c r="C111" s="30">
        <v>628</v>
      </c>
      <c r="D111" s="30">
        <v>788</v>
      </c>
      <c r="E111" s="30">
        <v>884</v>
      </c>
      <c r="F111" s="30">
        <v>920</v>
      </c>
      <c r="G111" s="10">
        <v>940</v>
      </c>
      <c r="H111" s="10">
        <v>915</v>
      </c>
      <c r="I111" s="10">
        <v>953</v>
      </c>
      <c r="J111" s="10">
        <v>1136</v>
      </c>
      <c r="K111" s="10">
        <v>1356</v>
      </c>
      <c r="L111" s="10">
        <v>1570</v>
      </c>
      <c r="M111" s="10">
        <v>1757</v>
      </c>
    </row>
    <row r="112" spans="2:13" x14ac:dyDescent="0.25">
      <c r="B112" s="14" t="s">
        <v>84</v>
      </c>
      <c r="C112" s="8">
        <f>C111/'Tabell 8'!C127*100</f>
        <v>11.45567311200292</v>
      </c>
      <c r="D112" s="8">
        <f>D111/'Tabell 8'!D127*100</f>
        <v>14.579093432007401</v>
      </c>
      <c r="E112" s="8">
        <f>E111/'Tabell 8'!E127*100</f>
        <v>16.340110905730128</v>
      </c>
      <c r="F112" s="8">
        <f>F111/'Tabell 8'!F127*100</f>
        <v>16.864828400371028</v>
      </c>
      <c r="G112" s="8">
        <f>G111/'Tabell 8'!G127*100</f>
        <v>16.070491329628002</v>
      </c>
      <c r="H112" s="8">
        <f>H111/'Tabell 8'!H127*100</f>
        <v>14.607279693486591</v>
      </c>
      <c r="I112" s="8">
        <f>I111/'Tabell 8'!I127*100</f>
        <v>14.221757946575138</v>
      </c>
      <c r="J112" s="8">
        <f>J111/'Tabell 8'!J127*100</f>
        <v>15.910364145658262</v>
      </c>
      <c r="K112" s="8">
        <f>K111/'Tabell 8'!K127*100</f>
        <v>17.737083060824069</v>
      </c>
      <c r="L112" s="8">
        <f>L111/'Tabell 8'!L127*100</f>
        <v>18.485811845048865</v>
      </c>
      <c r="M112" s="8">
        <f>M111/'Tabell 8'!M127*100</f>
        <v>17.91760146848868</v>
      </c>
    </row>
    <row r="113" spans="2:15" x14ac:dyDescent="0.25">
      <c r="B113" s="2"/>
      <c r="C113" s="2"/>
      <c r="D113" s="2"/>
      <c r="E113" s="2"/>
      <c r="F113" s="2"/>
      <c r="G113" s="10"/>
      <c r="H113" s="10"/>
      <c r="I113" s="10"/>
      <c r="J113" s="10"/>
      <c r="K113" s="10"/>
      <c r="L113" s="10"/>
      <c r="M113" s="10"/>
    </row>
    <row r="114" spans="2:15" x14ac:dyDescent="0.25">
      <c r="B114" s="22" t="s">
        <v>242</v>
      </c>
      <c r="C114" s="9">
        <v>6376</v>
      </c>
      <c r="D114" s="9">
        <v>6976</v>
      </c>
      <c r="E114" s="9">
        <v>7039</v>
      </c>
      <c r="F114" s="9">
        <v>7129</v>
      </c>
      <c r="G114" s="20">
        <v>7192</v>
      </c>
      <c r="H114" s="20">
        <v>7185</v>
      </c>
      <c r="I114" s="20">
        <v>7506</v>
      </c>
      <c r="J114" s="20">
        <v>7992</v>
      </c>
      <c r="K114" s="20">
        <v>8675</v>
      </c>
      <c r="L114" s="20">
        <v>9919</v>
      </c>
      <c r="M114" s="20">
        <v>11071</v>
      </c>
    </row>
    <row r="115" spans="2:15" x14ac:dyDescent="0.25">
      <c r="B115" s="14" t="s">
        <v>84</v>
      </c>
      <c r="C115" s="8">
        <f>C114/'Tabell 8'!C127*100</f>
        <v>116.30791681867932</v>
      </c>
      <c r="D115" s="8">
        <f>D114/'Tabell 8'!D127*100</f>
        <v>129.06567992599446</v>
      </c>
      <c r="E115" s="8">
        <f>E114/'Tabell 8'!E127*100</f>
        <v>130.11090573012939</v>
      </c>
      <c r="F115" s="8">
        <f>F114/'Tabell 8'!F127*100</f>
        <v>130.68408876765764</v>
      </c>
      <c r="G115" s="67">
        <f>G114/'Tabell 8'!G127*100</f>
        <v>122.95635493902617</v>
      </c>
      <c r="H115" s="67">
        <f>H114/'Tabell 8'!H127*100</f>
        <v>114.70306513409963</v>
      </c>
      <c r="I115" s="67">
        <f>I114/'Tabell 8'!I127*100</f>
        <v>112.01313236830323</v>
      </c>
      <c r="J115" s="67">
        <f>J114/'Tabell 8'!J127*100</f>
        <v>111.9327731092437</v>
      </c>
      <c r="K115" s="67">
        <f>K114/'Tabell 8'!K127*100</f>
        <v>113.47285807717462</v>
      </c>
      <c r="L115" s="67">
        <f>L114/'Tabell 8'!L127*100</f>
        <v>116.79029789238196</v>
      </c>
      <c r="M115" s="67">
        <f>M114/'Tabell 8'!M127*100</f>
        <v>112.90026514378953</v>
      </c>
    </row>
    <row r="116" spans="2:15" x14ac:dyDescent="0.25">
      <c r="B116" s="2"/>
      <c r="C116" s="2"/>
      <c r="D116" s="2"/>
      <c r="E116" s="2"/>
      <c r="F116" s="2"/>
      <c r="G116" s="67"/>
      <c r="H116" s="67"/>
      <c r="I116" s="67"/>
      <c r="J116" s="67"/>
      <c r="K116" s="67"/>
      <c r="L116" s="67"/>
      <c r="M116" s="67"/>
    </row>
    <row r="117" spans="2:15" x14ac:dyDescent="0.25">
      <c r="B117" s="22" t="s">
        <v>315</v>
      </c>
      <c r="C117" s="9">
        <v>1099</v>
      </c>
      <c r="D117" s="9">
        <v>1110</v>
      </c>
      <c r="E117" s="9">
        <v>1112</v>
      </c>
      <c r="F117" s="9">
        <v>1132</v>
      </c>
      <c r="G117" s="10">
        <v>1117</v>
      </c>
      <c r="H117" s="10">
        <v>1057</v>
      </c>
      <c r="I117" s="10">
        <v>1049</v>
      </c>
      <c r="J117" s="10">
        <v>1188</v>
      </c>
      <c r="K117" s="108">
        <v>1375</v>
      </c>
      <c r="L117" s="10">
        <v>1614</v>
      </c>
      <c r="M117" s="10">
        <v>1924</v>
      </c>
    </row>
    <row r="118" spans="2:15" x14ac:dyDescent="0.25">
      <c r="B118" s="14" t="s">
        <v>86</v>
      </c>
      <c r="C118" s="8">
        <f>C117/'Tabell 3'!C111*100</f>
        <v>9.091661151555261</v>
      </c>
      <c r="D118" s="8">
        <f>D117/'Tabell 3'!D111*100</f>
        <v>9.7308670114841753</v>
      </c>
      <c r="E118" s="8">
        <f>E117/'Tabell 3'!E111*100</f>
        <v>10.362501164849501</v>
      </c>
      <c r="F118" s="8">
        <f>F117/'Tabell 3'!F111*100</f>
        <v>11.458649660896853</v>
      </c>
      <c r="G118" s="8">
        <f>G117/'Tabell 3'!G111*100</f>
        <v>11.081733988779373</v>
      </c>
      <c r="H118" s="8">
        <f>H117/'Tabell 3'!H111*100</f>
        <v>10.239152504281652</v>
      </c>
      <c r="I118" s="8">
        <f>I117/'Tabell 3'!I111*100</f>
        <v>9.617412191834827</v>
      </c>
      <c r="J118" s="8">
        <f>J117/'Tabell 3'!J111*100</f>
        <v>9.6281179946931896</v>
      </c>
      <c r="K118" s="8">
        <f>K117/'Tabell 3'!K111*100</f>
        <v>10.385674868706186</v>
      </c>
      <c r="L118" s="8">
        <f>L117/'Tabell 3'!L111*100</f>
        <v>11.043070712599636</v>
      </c>
      <c r="M118" s="8">
        <f>M117/'Tabell 3'!M111*100</f>
        <v>11.996463412657141</v>
      </c>
    </row>
    <row r="119" spans="2:15" x14ac:dyDescent="0.25">
      <c r="B119" s="11"/>
      <c r="C119" s="2"/>
      <c r="D119" s="2"/>
      <c r="E119" s="2"/>
      <c r="F119" s="2"/>
      <c r="G119" s="19"/>
      <c r="H119" s="19"/>
      <c r="I119" s="19"/>
      <c r="J119" s="19"/>
      <c r="K119" s="19"/>
      <c r="L119" s="19"/>
      <c r="M119" s="19"/>
    </row>
    <row r="120" spans="2:15" x14ac:dyDescent="0.25">
      <c r="B120" s="22" t="s">
        <v>314</v>
      </c>
      <c r="C120" s="2"/>
      <c r="D120" s="2">
        <v>449</v>
      </c>
      <c r="E120" s="2">
        <v>501</v>
      </c>
      <c r="F120" s="2">
        <v>602</v>
      </c>
      <c r="G120" s="88">
        <v>743</v>
      </c>
      <c r="H120" s="88">
        <v>780</v>
      </c>
      <c r="I120" s="88">
        <v>785</v>
      </c>
      <c r="J120" s="88">
        <v>808</v>
      </c>
      <c r="K120" s="108">
        <v>860</v>
      </c>
      <c r="L120" s="88">
        <v>985</v>
      </c>
      <c r="M120" s="88">
        <v>1179</v>
      </c>
    </row>
    <row r="121" spans="2:15" x14ac:dyDescent="0.25">
      <c r="B121" s="11"/>
      <c r="C121" s="2"/>
      <c r="D121" s="2"/>
      <c r="E121" s="2"/>
      <c r="F121" s="2"/>
      <c r="G121" s="19"/>
      <c r="H121" s="19"/>
    </row>
    <row r="122" spans="2:15" x14ac:dyDescent="0.25">
      <c r="B122" s="38" t="s">
        <v>300</v>
      </c>
      <c r="C122" s="2"/>
      <c r="D122" s="2"/>
      <c r="E122" s="2"/>
      <c r="F122" s="2"/>
      <c r="G122" s="19"/>
      <c r="H122" s="19"/>
      <c r="O122" s="90"/>
    </row>
    <row r="123" spans="2:15" x14ac:dyDescent="0.25">
      <c r="B123" s="105" t="s">
        <v>316</v>
      </c>
      <c r="C123" s="2"/>
      <c r="D123" s="2"/>
      <c r="E123" s="2"/>
      <c r="F123" s="2"/>
      <c r="G123" s="19"/>
      <c r="H123" s="19"/>
    </row>
    <row r="124" spans="2:15" x14ac:dyDescent="0.25">
      <c r="B124" s="104" t="s">
        <v>332</v>
      </c>
      <c r="C124" s="2"/>
      <c r="D124" s="2"/>
      <c r="E124" s="2"/>
      <c r="F124" s="2"/>
      <c r="G124" s="8"/>
      <c r="H124" s="8"/>
    </row>
    <row r="125" spans="2:15" x14ac:dyDescent="0.25">
      <c r="B125" s="104" t="s">
        <v>378</v>
      </c>
      <c r="C125" s="2"/>
      <c r="D125" s="2"/>
      <c r="E125" s="2"/>
      <c r="F125" s="2"/>
      <c r="G125" s="8"/>
      <c r="H125" s="8"/>
    </row>
    <row r="126" spans="2:15" x14ac:dyDescent="0.25">
      <c r="B126" s="104" t="s">
        <v>400</v>
      </c>
      <c r="C126" s="2"/>
      <c r="D126" s="2"/>
      <c r="E126" s="2"/>
      <c r="F126" s="2"/>
      <c r="G126" s="19"/>
      <c r="H126" s="19"/>
    </row>
    <row r="127" spans="2:15" x14ac:dyDescent="0.25">
      <c r="B127" s="38" t="s">
        <v>403</v>
      </c>
      <c r="C127" s="2"/>
      <c r="D127" s="2"/>
      <c r="E127" s="2"/>
      <c r="F127" s="2"/>
      <c r="G127" s="19"/>
      <c r="H127" s="19"/>
    </row>
    <row r="128" spans="2:15" x14ac:dyDescent="0.25">
      <c r="B128" s="104" t="s">
        <v>278</v>
      </c>
      <c r="C128" s="2"/>
      <c r="D128" s="2"/>
      <c r="E128" s="2"/>
      <c r="F128" s="2"/>
      <c r="G128" s="8"/>
      <c r="H128" s="8"/>
    </row>
    <row r="129" spans="2:8" x14ac:dyDescent="0.25">
      <c r="B129" s="104" t="s">
        <v>317</v>
      </c>
      <c r="C129" s="2"/>
      <c r="D129" s="2"/>
      <c r="E129" s="23"/>
      <c r="F129" s="23"/>
      <c r="G129" s="8"/>
      <c r="H129" s="8"/>
    </row>
    <row r="130" spans="2:8" x14ac:dyDescent="0.25">
      <c r="B130" s="38" t="s">
        <v>401</v>
      </c>
      <c r="C130" s="2"/>
      <c r="D130" s="2"/>
      <c r="E130" s="2"/>
      <c r="F130" s="2"/>
    </row>
    <row r="131" spans="2:8" x14ac:dyDescent="0.25">
      <c r="B131" s="38" t="s">
        <v>313</v>
      </c>
      <c r="C131" s="10"/>
      <c r="D131" s="10"/>
      <c r="E131" s="10"/>
      <c r="F131" s="10"/>
    </row>
    <row r="132" spans="2:8" x14ac:dyDescent="0.25">
      <c r="B132" s="104" t="s">
        <v>402</v>
      </c>
    </row>
    <row r="133" spans="2:8" x14ac:dyDescent="0.25">
      <c r="B133" s="6"/>
    </row>
    <row r="134" spans="2:8" x14ac:dyDescent="0.25">
      <c r="B134" s="6"/>
      <c r="C134" s="68"/>
      <c r="D134" s="68"/>
      <c r="E134" s="68"/>
      <c r="F134" s="68"/>
    </row>
    <row r="135" spans="2:8" x14ac:dyDescent="0.25">
      <c r="B135" s="7"/>
    </row>
    <row r="137" spans="2:8" x14ac:dyDescent="0.25">
      <c r="C137" s="68"/>
      <c r="D137" s="68"/>
      <c r="E137" s="68"/>
      <c r="F137" s="68"/>
    </row>
    <row r="140" spans="2:8" x14ac:dyDescent="0.25">
      <c r="C140" s="68"/>
      <c r="D140" s="68"/>
      <c r="E140" s="68"/>
      <c r="F140" s="68"/>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J160"/>
  <sheetViews>
    <sheetView zoomScaleNormal="100" workbookViewId="0">
      <pane xSplit="2" topLeftCell="V1" activePane="topRight" state="frozen"/>
      <selection activeCell="A70" sqref="A70"/>
      <selection pane="topRight"/>
    </sheetView>
  </sheetViews>
  <sheetFormatPr defaultColWidth="9" defaultRowHeight="15" x14ac:dyDescent="0.25"/>
  <cols>
    <col min="1" max="1" width="1.625" style="1" customWidth="1"/>
    <col min="2" max="2" width="25.375" style="1" customWidth="1"/>
    <col min="3" max="26" width="10" style="1" customWidth="1"/>
    <col min="27" max="16384" width="9" style="1"/>
  </cols>
  <sheetData>
    <row r="2" spans="2:35" ht="18.75" x14ac:dyDescent="0.3">
      <c r="B2" s="4" t="s">
        <v>287</v>
      </c>
    </row>
    <row r="3" spans="2:35" ht="18.75" x14ac:dyDescent="0.3">
      <c r="B3" s="4"/>
    </row>
    <row r="4" spans="2:35" ht="18.75" x14ac:dyDescent="0.3">
      <c r="B4" s="15" t="s">
        <v>103</v>
      </c>
      <c r="C4" s="165">
        <v>2014</v>
      </c>
      <c r="D4" s="165"/>
      <c r="E4" s="165"/>
      <c r="F4" s="165">
        <v>2015</v>
      </c>
      <c r="G4" s="165"/>
      <c r="H4" s="165"/>
      <c r="I4" s="165">
        <v>2016</v>
      </c>
      <c r="J4" s="165"/>
      <c r="K4" s="165"/>
      <c r="L4" s="165">
        <v>2017</v>
      </c>
      <c r="M4" s="165"/>
      <c r="N4" s="165"/>
      <c r="O4" s="165">
        <v>2018</v>
      </c>
      <c r="P4" s="165"/>
      <c r="Q4" s="165"/>
      <c r="R4" s="165">
        <v>2019</v>
      </c>
      <c r="S4" s="165"/>
      <c r="T4" s="165"/>
      <c r="U4" s="165">
        <v>2020</v>
      </c>
      <c r="V4" s="165"/>
      <c r="W4" s="165"/>
      <c r="X4" s="165">
        <v>2021</v>
      </c>
      <c r="Y4" s="165"/>
      <c r="Z4" s="165"/>
      <c r="AA4" s="165">
        <v>2022</v>
      </c>
      <c r="AB4" s="165"/>
      <c r="AC4" s="165"/>
      <c r="AD4" s="165">
        <v>2023</v>
      </c>
      <c r="AE4" s="165"/>
      <c r="AF4" s="165"/>
      <c r="AG4" s="165">
        <v>2024</v>
      </c>
      <c r="AH4" s="165"/>
      <c r="AI4" s="165"/>
    </row>
    <row r="5" spans="2:35" ht="18.75" x14ac:dyDescent="0.3">
      <c r="B5" s="17"/>
      <c r="C5" s="31" t="s">
        <v>100</v>
      </c>
      <c r="D5" s="31" t="s">
        <v>101</v>
      </c>
      <c r="E5" s="31" t="s">
        <v>80</v>
      </c>
      <c r="F5" s="31" t="s">
        <v>100</v>
      </c>
      <c r="G5" s="31" t="s">
        <v>101</v>
      </c>
      <c r="H5" s="31" t="s">
        <v>80</v>
      </c>
      <c r="I5" s="31" t="s">
        <v>100</v>
      </c>
      <c r="J5" s="31" t="s">
        <v>101</v>
      </c>
      <c r="K5" s="31" t="s">
        <v>80</v>
      </c>
      <c r="L5" s="31" t="s">
        <v>100</v>
      </c>
      <c r="M5" s="31" t="s">
        <v>101</v>
      </c>
      <c r="N5" s="31" t="s">
        <v>80</v>
      </c>
      <c r="O5" s="31" t="s">
        <v>100</v>
      </c>
      <c r="P5" s="31" t="s">
        <v>101</v>
      </c>
      <c r="Q5" s="31" t="s">
        <v>80</v>
      </c>
      <c r="R5" s="31" t="s">
        <v>100</v>
      </c>
      <c r="S5" s="31" t="s">
        <v>101</v>
      </c>
      <c r="T5" s="31" t="s">
        <v>80</v>
      </c>
      <c r="U5" s="31" t="s">
        <v>100</v>
      </c>
      <c r="V5" s="31" t="s">
        <v>101</v>
      </c>
      <c r="W5" s="31" t="s">
        <v>80</v>
      </c>
      <c r="X5" s="31" t="s">
        <v>100</v>
      </c>
      <c r="Y5" s="31" t="s">
        <v>101</v>
      </c>
      <c r="Z5" s="31" t="s">
        <v>80</v>
      </c>
      <c r="AA5" s="31" t="s">
        <v>100</v>
      </c>
      <c r="AB5" s="31" t="s">
        <v>101</v>
      </c>
      <c r="AC5" s="31" t="s">
        <v>80</v>
      </c>
      <c r="AD5" s="31" t="s">
        <v>100</v>
      </c>
      <c r="AE5" s="31" t="s">
        <v>101</v>
      </c>
      <c r="AF5" s="31" t="s">
        <v>80</v>
      </c>
      <c r="AG5" s="31" t="s">
        <v>100</v>
      </c>
      <c r="AH5" s="31" t="s">
        <v>101</v>
      </c>
      <c r="AI5" s="31" t="s">
        <v>80</v>
      </c>
    </row>
    <row r="6" spans="2:35" x14ac:dyDescent="0.25">
      <c r="B6" s="32" t="s">
        <v>276</v>
      </c>
    </row>
    <row r="7" spans="2:35" x14ac:dyDescent="0.25">
      <c r="B7" s="2" t="s">
        <v>89</v>
      </c>
      <c r="C7" s="33">
        <f t="shared" ref="C7" si="0">C23/C32*100</f>
        <v>8.5025980160604622</v>
      </c>
      <c r="D7" s="33">
        <f>D23/D32*100</f>
        <v>17.333333333333336</v>
      </c>
      <c r="E7" s="33">
        <f t="shared" ref="E7" si="1">E23/E32*100</f>
        <v>8.804744525547445</v>
      </c>
      <c r="F7" s="33">
        <f>F23/F32*100</f>
        <v>9.425403225806452</v>
      </c>
      <c r="G7" s="33">
        <f>G23/G32*100</f>
        <v>15.789473684210526</v>
      </c>
      <c r="H7" s="33">
        <f t="shared" ref="H7" si="2">H23/H32*100</f>
        <v>9.6031357177853991</v>
      </c>
      <c r="I7" s="33">
        <f>I23/I32*100</f>
        <v>8.6052009456264766</v>
      </c>
      <c r="J7" s="33">
        <f>J23/J32*100</f>
        <v>9.8901098901098905</v>
      </c>
      <c r="K7" s="33">
        <f t="shared" ref="K7" si="3">K23/K32*100</f>
        <v>8.6582048957388942</v>
      </c>
      <c r="L7" s="33">
        <f>L23/L32*100</f>
        <v>8</v>
      </c>
      <c r="M7" s="33">
        <f>M23/M32*100</f>
        <v>17.647058823529413</v>
      </c>
      <c r="N7" s="33">
        <f>N23/N32*100</f>
        <v>8.3061129258049462</v>
      </c>
      <c r="O7" s="33">
        <f t="shared" ref="O7:Q7" si="4">O23/O32*100</f>
        <v>7.8923357664233569</v>
      </c>
      <c r="P7" s="33">
        <f t="shared" si="4"/>
        <v>14.285714285714285</v>
      </c>
      <c r="Q7" s="33">
        <f t="shared" si="4"/>
        <v>8.0709534368070948</v>
      </c>
      <c r="R7" s="33">
        <f>R23/2340*100</f>
        <v>7.3931623931623935</v>
      </c>
      <c r="S7" s="69">
        <f>+S23/84*100</f>
        <v>14.285714285714285</v>
      </c>
      <c r="T7" s="69">
        <f>+T23/2424*100</f>
        <v>7.6320132013201309</v>
      </c>
      <c r="U7" s="33">
        <f>U23/2397*100</f>
        <v>7.3425114726741763</v>
      </c>
      <c r="V7" s="69">
        <f>+V23/107*100</f>
        <v>10.2803738317757</v>
      </c>
      <c r="W7" s="69">
        <f>+W23/2504*100</f>
        <v>7.4680511182108624</v>
      </c>
      <c r="X7" s="33">
        <f>+X23/$X$17*100</f>
        <v>7.1512770137524564</v>
      </c>
      <c r="Y7" s="69">
        <f>+Y23/$Y$17*100</f>
        <v>7.2727272727272725</v>
      </c>
      <c r="Z7" s="69">
        <f>+Z23/$Z$17*100</f>
        <v>7.1563088512241055</v>
      </c>
      <c r="AA7" s="33">
        <f>+AA23/$AA$32*100</f>
        <v>6.3132335087009315</v>
      </c>
      <c r="AB7" s="69">
        <f>+AB23/$AB$32*100</f>
        <v>12.389380530973451</v>
      </c>
      <c r="AC7" s="69">
        <f>+AC23/$AC$32*100</f>
        <v>6.5789473684210522</v>
      </c>
      <c r="AD7" s="33">
        <f>+AD23/$AD$32*100</f>
        <v>6.2959934587080948</v>
      </c>
      <c r="AE7" s="69">
        <f>+AE23/$AE$32*100</f>
        <v>9.9099099099099099</v>
      </c>
      <c r="AF7" s="69">
        <f>+AF23/$AF$32*100</f>
        <v>6.4528744622604624</v>
      </c>
      <c r="AG7" s="33">
        <f>+AG23/$AG$32*100</f>
        <v>6.3908385666789798</v>
      </c>
      <c r="AH7" s="69">
        <f>+AH23/$AH$32*100</f>
        <v>7.4829931972789119</v>
      </c>
      <c r="AI7" s="69">
        <f>+AI23/$AI$32*100</f>
        <v>6.4470918009810791</v>
      </c>
    </row>
    <row r="8" spans="2:35" x14ac:dyDescent="0.25">
      <c r="B8" s="2" t="s">
        <v>90</v>
      </c>
      <c r="C8" s="33">
        <f>C24/C32*100</f>
        <v>16.580066131317903</v>
      </c>
      <c r="D8" s="33">
        <f>D24/D32*100</f>
        <v>17.333333333333336</v>
      </c>
      <c r="E8" s="33">
        <f t="shared" ref="E8:F8" si="5">E24/E32*100</f>
        <v>16.605839416058394</v>
      </c>
      <c r="F8" s="33">
        <f t="shared" si="5"/>
        <v>15.37298387096774</v>
      </c>
      <c r="G8" s="33">
        <f>G24/G32*100</f>
        <v>28.07017543859649</v>
      </c>
      <c r="H8" s="33">
        <f t="shared" ref="H8:I8" si="6">H24/H32*100</f>
        <v>15.727584517393433</v>
      </c>
      <c r="I8" s="33">
        <f t="shared" si="6"/>
        <v>16.40661938534279</v>
      </c>
      <c r="J8" s="33">
        <f>J24/J32*100</f>
        <v>16.483516483516482</v>
      </c>
      <c r="K8" s="33">
        <f t="shared" ref="K8:L8" si="7">K24/K32*100</f>
        <v>16.409791477787852</v>
      </c>
      <c r="L8" s="33">
        <f t="shared" si="7"/>
        <v>15.614457831325302</v>
      </c>
      <c r="M8" s="33">
        <f>M24/M32*100</f>
        <v>23.52941176470588</v>
      </c>
      <c r="N8" s="33">
        <f>N24/N32*100</f>
        <v>15.865608959402708</v>
      </c>
      <c r="O8" s="33">
        <f t="shared" ref="O8:Q8" si="8">O24/O32*100</f>
        <v>17.335766423357665</v>
      </c>
      <c r="P8" s="33">
        <f t="shared" si="8"/>
        <v>22.222222222222221</v>
      </c>
      <c r="Q8" s="33">
        <f t="shared" si="8"/>
        <v>17.472283813747229</v>
      </c>
      <c r="R8" s="33">
        <f t="shared" ref="R8:R15" si="9">R24/2340*100</f>
        <v>16.153846153846153</v>
      </c>
      <c r="S8" s="33">
        <f>S24/S32*100</f>
        <v>21.428571428571427</v>
      </c>
      <c r="T8" s="69">
        <f t="shared" ref="T8:T15" si="10">+T24/2424*100</f>
        <v>16.336633663366339</v>
      </c>
      <c r="U8" s="33">
        <f t="shared" ref="U8:U16" si="11">U24/2397*100</f>
        <v>17.855652899457656</v>
      </c>
      <c r="V8" s="69">
        <f t="shared" ref="V8:V16" si="12">+V24/107*100</f>
        <v>23.364485981308412</v>
      </c>
      <c r="W8" s="69">
        <f>+W24/2504*100</f>
        <v>18.091054313099043</v>
      </c>
      <c r="X8" s="33">
        <f t="shared" ref="X8:X15" si="13">+X24/$X$17*100</f>
        <v>16.463654223968565</v>
      </c>
      <c r="Y8" s="69">
        <f t="shared" ref="Y8:Y15" si="14">+Y24/$Y$17*100</f>
        <v>18.181818181818183</v>
      </c>
      <c r="Z8" s="69">
        <f t="shared" ref="Z8:Z15" si="15">+Z24/$Z$17*100</f>
        <v>16.534839924670433</v>
      </c>
      <c r="AA8" s="33">
        <f t="shared" ref="AA8:AA16" si="16">+AA24/$AA$32*100</f>
        <v>16.875758802104414</v>
      </c>
      <c r="AB8" s="69">
        <f t="shared" ref="AB8:AB16" si="17">+AB24/$AB$32*100</f>
        <v>11.504424778761061</v>
      </c>
      <c r="AC8" s="69">
        <f t="shared" ref="AC8:AC16" si="18">+AC24/$AC$32*100</f>
        <v>16.640866873065015</v>
      </c>
      <c r="AD8" s="33">
        <f t="shared" ref="AD8:AD16" si="19">+AD24/$AD$32*100</f>
        <v>15.044971381847915</v>
      </c>
      <c r="AE8" s="69">
        <f t="shared" ref="AE8:AE16" si="20">+AE24/$AE$32*100</f>
        <v>11.711711711711711</v>
      </c>
      <c r="AF8" s="69">
        <f t="shared" ref="AF8:AF16" si="21">+AF24/$AF$32*100</f>
        <v>14.90027375831052</v>
      </c>
      <c r="AG8" s="33">
        <f t="shared" ref="AG8:AG16" si="22">+AG24/$AG$32*100</f>
        <v>14.370151459179903</v>
      </c>
      <c r="AH8" s="69">
        <f t="shared" ref="AH8:AH16" si="23">+AH24/$AH$32*100</f>
        <v>10.204081632653061</v>
      </c>
      <c r="AI8" s="69">
        <f t="shared" ref="AI8:AI16" si="24">+AI24/$AI$32*100</f>
        <v>14.155571128241066</v>
      </c>
    </row>
    <row r="9" spans="2:35" x14ac:dyDescent="0.25">
      <c r="B9" s="2" t="s">
        <v>91</v>
      </c>
      <c r="C9" s="33">
        <f t="shared" ref="C9:M9" si="25">C25/C32*100</f>
        <v>24.988190836088805</v>
      </c>
      <c r="D9" s="33">
        <f t="shared" si="25"/>
        <v>26.666666666666668</v>
      </c>
      <c r="E9" s="33">
        <f t="shared" si="25"/>
        <v>25.045620437956206</v>
      </c>
      <c r="F9" s="33">
        <f t="shared" si="25"/>
        <v>24.596774193548388</v>
      </c>
      <c r="G9" s="33">
        <f t="shared" si="25"/>
        <v>15.789473684210526</v>
      </c>
      <c r="H9" s="33">
        <f t="shared" si="25"/>
        <v>24.350808427241549</v>
      </c>
      <c r="I9" s="33">
        <f t="shared" si="25"/>
        <v>24.964539007092199</v>
      </c>
      <c r="J9" s="33">
        <f t="shared" si="25"/>
        <v>16.483516483516482</v>
      </c>
      <c r="K9" s="33">
        <f t="shared" si="25"/>
        <v>24.614687216681777</v>
      </c>
      <c r="L9" s="33">
        <f t="shared" si="25"/>
        <v>25.204819277108431</v>
      </c>
      <c r="M9" s="33">
        <f t="shared" si="25"/>
        <v>17.647058823529413</v>
      </c>
      <c r="N9" s="33">
        <f t="shared" ref="N9:Q9" si="26">N25/N32*100</f>
        <v>24.965002333177789</v>
      </c>
      <c r="O9" s="33">
        <f t="shared" si="26"/>
        <v>23.220802919708028</v>
      </c>
      <c r="P9" s="33">
        <f t="shared" si="26"/>
        <v>19.047619047619047</v>
      </c>
      <c r="Q9" s="33">
        <f t="shared" si="26"/>
        <v>23.104212860310422</v>
      </c>
      <c r="R9" s="33">
        <f t="shared" si="9"/>
        <v>23.717948717948715</v>
      </c>
      <c r="S9" s="33">
        <f t="shared" ref="S9" si="27">S25/S32*100</f>
        <v>11.904761904761903</v>
      </c>
      <c r="T9" s="69">
        <f t="shared" si="10"/>
        <v>23.308580858085808</v>
      </c>
      <c r="U9" s="33">
        <f t="shared" si="11"/>
        <v>25.490196078431371</v>
      </c>
      <c r="V9" s="69">
        <f t="shared" si="12"/>
        <v>18.691588785046729</v>
      </c>
      <c r="W9" s="69">
        <f t="shared" ref="W9:W16" si="28">+W25/2504*100</f>
        <v>25.199680511182109</v>
      </c>
      <c r="X9" s="33">
        <f t="shared" si="13"/>
        <v>28.290766208251473</v>
      </c>
      <c r="Y9" s="69">
        <f t="shared" si="14"/>
        <v>32.727272727272727</v>
      </c>
      <c r="Z9" s="69">
        <f t="shared" si="15"/>
        <v>28.474576271186443</v>
      </c>
      <c r="AA9" s="33">
        <f t="shared" si="16"/>
        <v>28.692836908134357</v>
      </c>
      <c r="AB9" s="69">
        <f t="shared" si="17"/>
        <v>38.053097345132741</v>
      </c>
      <c r="AC9" s="69">
        <f t="shared" si="18"/>
        <v>29.102167182662537</v>
      </c>
      <c r="AD9" s="33">
        <f t="shared" si="19"/>
        <v>30.049059689288633</v>
      </c>
      <c r="AE9" s="69">
        <f t="shared" si="20"/>
        <v>48.648648648648653</v>
      </c>
      <c r="AF9" s="69">
        <f t="shared" si="21"/>
        <v>30.856472428627296</v>
      </c>
      <c r="AG9" s="33">
        <f t="shared" si="22"/>
        <v>33.764314739564092</v>
      </c>
      <c r="AH9" s="69">
        <f t="shared" si="23"/>
        <v>46.938775510204081</v>
      </c>
      <c r="AI9" s="69">
        <f t="shared" si="24"/>
        <v>34.442887175893482</v>
      </c>
    </row>
    <row r="10" spans="2:35" x14ac:dyDescent="0.25">
      <c r="B10" s="2" t="s">
        <v>92</v>
      </c>
      <c r="C10" s="33">
        <f t="shared" ref="C10:M10" si="29">C26/C32*100</f>
        <v>13.226263580538497</v>
      </c>
      <c r="D10" s="33">
        <f t="shared" si="29"/>
        <v>8</v>
      </c>
      <c r="E10" s="33">
        <f t="shared" si="29"/>
        <v>13.047445255474452</v>
      </c>
      <c r="F10" s="33">
        <f t="shared" si="29"/>
        <v>11.945564516129032</v>
      </c>
      <c r="G10" s="33">
        <f t="shared" si="29"/>
        <v>7.0175438596491224</v>
      </c>
      <c r="H10" s="33">
        <f t="shared" si="29"/>
        <v>11.807937285644291</v>
      </c>
      <c r="I10" s="33">
        <f t="shared" si="29"/>
        <v>11.536643026004729</v>
      </c>
      <c r="J10" s="33">
        <f t="shared" si="29"/>
        <v>9.8901098901098905</v>
      </c>
      <c r="K10" s="33">
        <f t="shared" si="29"/>
        <v>11.468721668177698</v>
      </c>
      <c r="L10" s="33">
        <f t="shared" si="29"/>
        <v>11.27710843373494</v>
      </c>
      <c r="M10" s="33">
        <f t="shared" si="29"/>
        <v>13.23529411764706</v>
      </c>
      <c r="N10" s="33">
        <f>N26/N32*100</f>
        <v>11.339244050396641</v>
      </c>
      <c r="O10" s="33">
        <f t="shared" ref="O10:Q10" si="30">O26/O32*100</f>
        <v>9.7627737226277382</v>
      </c>
      <c r="P10" s="33">
        <f t="shared" si="30"/>
        <v>0</v>
      </c>
      <c r="Q10" s="33">
        <f t="shared" si="30"/>
        <v>9.4900221729490024</v>
      </c>
      <c r="R10" s="33">
        <f t="shared" si="9"/>
        <v>9.1452991452991448</v>
      </c>
      <c r="S10" s="33">
        <f t="shared" ref="S10" si="31">S26/S32*100</f>
        <v>8.3333333333333321</v>
      </c>
      <c r="T10" s="69">
        <f t="shared" si="10"/>
        <v>9.1171617161716156</v>
      </c>
      <c r="U10" s="33">
        <f t="shared" si="11"/>
        <v>7.1339173967459324</v>
      </c>
      <c r="V10" s="69">
        <f t="shared" si="12"/>
        <v>8.4112149532710276</v>
      </c>
      <c r="W10" s="69">
        <f t="shared" si="28"/>
        <v>7.1884984025559113</v>
      </c>
      <c r="X10" s="33">
        <f>+X26/$X$17*100</f>
        <v>7.1905697445972496</v>
      </c>
      <c r="Y10" s="69">
        <f t="shared" si="14"/>
        <v>6.3636363636363633</v>
      </c>
      <c r="Z10" s="69">
        <f t="shared" si="15"/>
        <v>7.1563088512241055</v>
      </c>
      <c r="AA10" s="33">
        <f t="shared" si="16"/>
        <v>6.3537029542695258</v>
      </c>
      <c r="AB10" s="69">
        <f t="shared" si="17"/>
        <v>9.7345132743362832</v>
      </c>
      <c r="AC10" s="69">
        <f t="shared" si="18"/>
        <v>6.5015479876160995</v>
      </c>
      <c r="AD10" s="33">
        <f t="shared" si="19"/>
        <v>6.6230580539656581</v>
      </c>
      <c r="AE10" s="69">
        <f t="shared" si="20"/>
        <v>3.6036036036036037</v>
      </c>
      <c r="AF10" s="69">
        <f t="shared" si="21"/>
        <v>6.4919827923347677</v>
      </c>
      <c r="AG10" s="33">
        <f t="shared" si="22"/>
        <v>6.3908385666789798</v>
      </c>
      <c r="AH10" s="69">
        <f t="shared" si="23"/>
        <v>6.8027210884353746</v>
      </c>
      <c r="AI10" s="69">
        <f t="shared" si="24"/>
        <v>6.4120532585844421</v>
      </c>
    </row>
    <row r="11" spans="2:35" x14ac:dyDescent="0.25">
      <c r="B11" s="2" t="s">
        <v>93</v>
      </c>
      <c r="C11" s="33">
        <f t="shared" ref="C11:N11" si="32">C27/C32*100</f>
        <v>11.809163911195087</v>
      </c>
      <c r="D11" s="33">
        <f t="shared" si="32"/>
        <v>4</v>
      </c>
      <c r="E11" s="33">
        <f t="shared" si="32"/>
        <v>11.541970802919709</v>
      </c>
      <c r="F11" s="33">
        <f t="shared" si="32"/>
        <v>10.28225806451613</v>
      </c>
      <c r="G11" s="33">
        <f t="shared" si="32"/>
        <v>7.0175438596491224</v>
      </c>
      <c r="H11" s="33">
        <f t="shared" si="32"/>
        <v>10.191082802547772</v>
      </c>
      <c r="I11" s="33">
        <f t="shared" si="32"/>
        <v>9.9290780141843982</v>
      </c>
      <c r="J11" s="33">
        <f t="shared" si="32"/>
        <v>9.8901098901098905</v>
      </c>
      <c r="K11" s="33">
        <f t="shared" si="32"/>
        <v>9.9274705349048045</v>
      </c>
      <c r="L11" s="33">
        <f t="shared" si="32"/>
        <v>8.3373493975903621</v>
      </c>
      <c r="M11" s="33">
        <f t="shared" si="32"/>
        <v>4.4117647058823533</v>
      </c>
      <c r="N11" s="33">
        <f t="shared" si="32"/>
        <v>8.212785814279048</v>
      </c>
      <c r="O11" s="33">
        <f t="shared" ref="O11:Q11" si="33">O27/O32*100</f>
        <v>6.7518248175182478</v>
      </c>
      <c r="P11" s="33">
        <f t="shared" si="33"/>
        <v>4.7619047619047619</v>
      </c>
      <c r="Q11" s="33">
        <f t="shared" si="33"/>
        <v>6.6962305986696222</v>
      </c>
      <c r="R11" s="33">
        <f t="shared" si="9"/>
        <v>6.2393162393162394</v>
      </c>
      <c r="S11" s="33">
        <f t="shared" ref="S11" si="34">S27/S32*100</f>
        <v>1.1904761904761905</v>
      </c>
      <c r="T11" s="69">
        <f t="shared" si="10"/>
        <v>6.064356435643564</v>
      </c>
      <c r="U11" s="33">
        <f t="shared" si="11"/>
        <v>5.632040050062578</v>
      </c>
      <c r="V11" s="69">
        <f t="shared" si="12"/>
        <v>6.5420560747663545</v>
      </c>
      <c r="W11" s="69">
        <f t="shared" si="28"/>
        <v>5.6709265175718855</v>
      </c>
      <c r="X11" s="33">
        <f t="shared" si="13"/>
        <v>5.7367387033398822</v>
      </c>
      <c r="Y11" s="69">
        <f t="shared" si="14"/>
        <v>8.1818181818181817</v>
      </c>
      <c r="Z11" s="69">
        <f t="shared" si="15"/>
        <v>5.8380414312617699</v>
      </c>
      <c r="AA11" s="33">
        <f t="shared" si="16"/>
        <v>5.7466612707405913</v>
      </c>
      <c r="AB11" s="69">
        <f t="shared" si="17"/>
        <v>4.4247787610619467</v>
      </c>
      <c r="AC11" s="69">
        <f t="shared" si="18"/>
        <v>5.6888544891640862</v>
      </c>
      <c r="AD11" s="33">
        <f t="shared" si="19"/>
        <v>5.2739165985282099</v>
      </c>
      <c r="AE11" s="69">
        <f t="shared" si="20"/>
        <v>6.3063063063063058</v>
      </c>
      <c r="AF11" s="69">
        <f t="shared" si="21"/>
        <v>5.3187328901055926</v>
      </c>
      <c r="AG11" s="33">
        <f t="shared" si="22"/>
        <v>4.3221278167713342</v>
      </c>
      <c r="AH11" s="69">
        <f t="shared" si="23"/>
        <v>3.4013605442176873</v>
      </c>
      <c r="AI11" s="69">
        <f t="shared" si="24"/>
        <v>4.2747021723896284</v>
      </c>
    </row>
    <row r="12" spans="2:35" x14ac:dyDescent="0.25">
      <c r="B12" s="2" t="s">
        <v>94</v>
      </c>
      <c r="C12" s="33">
        <f t="shared" ref="C12:N12" si="35">C28/C32*100</f>
        <v>6.7548417572035904</v>
      </c>
      <c r="D12" s="33">
        <f t="shared" si="35"/>
        <v>4</v>
      </c>
      <c r="E12" s="33">
        <f t="shared" si="35"/>
        <v>6.6605839416058394</v>
      </c>
      <c r="F12" s="33">
        <f t="shared" si="35"/>
        <v>8.0141129032258061</v>
      </c>
      <c r="G12" s="33">
        <f t="shared" si="35"/>
        <v>3.5087719298245612</v>
      </c>
      <c r="H12" s="33">
        <f t="shared" si="35"/>
        <v>7.8882900538951501</v>
      </c>
      <c r="I12" s="33">
        <f t="shared" si="35"/>
        <v>7.5650118203309695</v>
      </c>
      <c r="J12" s="33">
        <f t="shared" si="35"/>
        <v>2.197802197802198</v>
      </c>
      <c r="K12" s="33">
        <f t="shared" si="35"/>
        <v>7.3436083408884851</v>
      </c>
      <c r="L12" s="33">
        <f t="shared" si="35"/>
        <v>8.240963855421688</v>
      </c>
      <c r="M12" s="33">
        <f t="shared" si="35"/>
        <v>1.4705882352941175</v>
      </c>
      <c r="N12" s="33">
        <f t="shared" si="35"/>
        <v>8.0261315912272515</v>
      </c>
      <c r="O12" s="33">
        <f t="shared" ref="O12:Q12" si="36">O28/O32*100</f>
        <v>9.4890510948905096</v>
      </c>
      <c r="P12" s="33">
        <f t="shared" si="36"/>
        <v>7.9365079365079358</v>
      </c>
      <c r="Q12" s="33">
        <f t="shared" si="36"/>
        <v>9.4456762749445673</v>
      </c>
      <c r="R12" s="33">
        <f t="shared" si="9"/>
        <v>10.17094017094017</v>
      </c>
      <c r="S12" s="33">
        <f t="shared" ref="S12" si="37">S28/S32*100</f>
        <v>7.1428571428571423</v>
      </c>
      <c r="T12" s="69">
        <f t="shared" si="10"/>
        <v>10.066006600660065</v>
      </c>
      <c r="U12" s="33">
        <f t="shared" si="11"/>
        <v>8.468919482686692</v>
      </c>
      <c r="V12" s="69">
        <f t="shared" si="12"/>
        <v>5.6074766355140184</v>
      </c>
      <c r="W12" s="69">
        <f t="shared" si="28"/>
        <v>8.3466453674121404</v>
      </c>
      <c r="X12" s="33">
        <f t="shared" si="13"/>
        <v>9.6267190569744603</v>
      </c>
      <c r="Y12" s="69">
        <f t="shared" si="14"/>
        <v>3.6363636363636362</v>
      </c>
      <c r="Z12" s="69">
        <f>+Z28/$Z$17*100</f>
        <v>9.3785310734463287</v>
      </c>
      <c r="AA12" s="33">
        <f t="shared" si="16"/>
        <v>11.088628085795223</v>
      </c>
      <c r="AB12" s="69">
        <f t="shared" si="17"/>
        <v>2.6548672566371683</v>
      </c>
      <c r="AC12" s="69">
        <f t="shared" si="18"/>
        <v>10.719814241486068</v>
      </c>
      <c r="AD12" s="33">
        <f t="shared" si="19"/>
        <v>10.752248569092396</v>
      </c>
      <c r="AE12" s="69">
        <f t="shared" si="20"/>
        <v>2.7027027027027026</v>
      </c>
      <c r="AF12" s="69">
        <f t="shared" si="21"/>
        <v>10.402815799765349</v>
      </c>
      <c r="AG12" s="33">
        <f t="shared" si="22"/>
        <v>10.639083856667899</v>
      </c>
      <c r="AH12" s="69">
        <f t="shared" si="23"/>
        <v>4.0816326530612246</v>
      </c>
      <c r="AI12" s="69">
        <f t="shared" si="24"/>
        <v>10.301331464611071</v>
      </c>
    </row>
    <row r="13" spans="2:35" x14ac:dyDescent="0.25">
      <c r="B13" s="2" t="s">
        <v>95</v>
      </c>
      <c r="C13" s="33">
        <f t="shared" ref="C13:N13" si="38">C29/C32*100</f>
        <v>3.3065658951346242</v>
      </c>
      <c r="D13" s="33">
        <f t="shared" si="38"/>
        <v>9.3333333333333339</v>
      </c>
      <c r="E13" s="33">
        <f t="shared" si="38"/>
        <v>3.5127737226277369</v>
      </c>
      <c r="F13" s="33">
        <f t="shared" si="38"/>
        <v>3.2762096774193545</v>
      </c>
      <c r="G13" s="33">
        <f t="shared" si="38"/>
        <v>7.0175438596491224</v>
      </c>
      <c r="H13" s="33">
        <f t="shared" si="38"/>
        <v>3.3806957373836357</v>
      </c>
      <c r="I13" s="33">
        <f t="shared" si="38"/>
        <v>3.2624113475177303</v>
      </c>
      <c r="J13" s="33">
        <f t="shared" si="38"/>
        <v>9.8901098901098905</v>
      </c>
      <c r="K13" s="33">
        <f t="shared" si="38"/>
        <v>3.5358114233907529</v>
      </c>
      <c r="L13" s="33">
        <f t="shared" si="38"/>
        <v>3.2289156626506026</v>
      </c>
      <c r="M13" s="33">
        <f t="shared" si="38"/>
        <v>4.4117647058823533</v>
      </c>
      <c r="N13" s="33">
        <f t="shared" si="38"/>
        <v>3.2664489034064395</v>
      </c>
      <c r="O13" s="33">
        <f t="shared" ref="O13:Q13" si="39">O29/O32*100</f>
        <v>3.1934306569343067</v>
      </c>
      <c r="P13" s="33">
        <f t="shared" si="39"/>
        <v>9.5238095238095237</v>
      </c>
      <c r="Q13" s="33">
        <f t="shared" si="39"/>
        <v>3.3702882483370291</v>
      </c>
      <c r="R13" s="33">
        <f t="shared" si="9"/>
        <v>2.6068376068376069</v>
      </c>
      <c r="S13" s="33">
        <f t="shared" ref="S13" si="40">S29/S32*100</f>
        <v>3.5714285714285712</v>
      </c>
      <c r="T13" s="69">
        <f t="shared" si="10"/>
        <v>2.6402640264026402</v>
      </c>
      <c r="U13" s="33">
        <f t="shared" si="11"/>
        <v>2.3362536503963289</v>
      </c>
      <c r="V13" s="69">
        <f t="shared" si="12"/>
        <v>4.6728971962616823</v>
      </c>
      <c r="W13" s="69">
        <f t="shared" si="28"/>
        <v>2.4361022364217253</v>
      </c>
      <c r="X13" s="33">
        <f t="shared" si="13"/>
        <v>3.8113948919449898</v>
      </c>
      <c r="Y13" s="69">
        <f t="shared" si="14"/>
        <v>6.3636363636363633</v>
      </c>
      <c r="Z13" s="69">
        <f t="shared" si="15"/>
        <v>3.9171374764595104</v>
      </c>
      <c r="AA13" s="33">
        <f>+AA29/$AA$32*100</f>
        <v>3.197086199919061</v>
      </c>
      <c r="AB13" s="69">
        <f>+AB29/$AB$32*100</f>
        <v>4.4247787610619467</v>
      </c>
      <c r="AC13" s="69">
        <f t="shared" si="18"/>
        <v>3.2507739938080498</v>
      </c>
      <c r="AD13" s="33">
        <f t="shared" si="19"/>
        <v>2.9844644317252658</v>
      </c>
      <c r="AE13" s="69">
        <f t="shared" si="20"/>
        <v>3.6036036036036037</v>
      </c>
      <c r="AF13" s="69">
        <f t="shared" si="21"/>
        <v>3.0113414157215486</v>
      </c>
      <c r="AG13" s="33">
        <f t="shared" si="22"/>
        <v>3.3616549685999262</v>
      </c>
      <c r="AH13" s="69">
        <f t="shared" si="23"/>
        <v>5.4421768707482991</v>
      </c>
      <c r="AI13" s="69">
        <f t="shared" si="24"/>
        <v>3.4688156972669937</v>
      </c>
    </row>
    <row r="14" spans="2:35" x14ac:dyDescent="0.25">
      <c r="B14" s="2" t="s">
        <v>96</v>
      </c>
      <c r="C14" s="33">
        <f t="shared" ref="C14:N14" si="41">C30/C32*100</f>
        <v>2.5507794048181389</v>
      </c>
      <c r="D14" s="33">
        <f t="shared" si="41"/>
        <v>1.3333333333333335</v>
      </c>
      <c r="E14" s="33">
        <f t="shared" si="41"/>
        <v>2.5091240875912408</v>
      </c>
      <c r="F14" s="33">
        <f t="shared" si="41"/>
        <v>3.477822580645161</v>
      </c>
      <c r="G14" s="33">
        <f t="shared" si="41"/>
        <v>1.7543859649122806</v>
      </c>
      <c r="H14" s="33">
        <f t="shared" si="41"/>
        <v>3.4296913277805001</v>
      </c>
      <c r="I14" s="33">
        <f t="shared" si="41"/>
        <v>3.3569739952718676</v>
      </c>
      <c r="J14" s="33">
        <f t="shared" si="41"/>
        <v>3.296703296703297</v>
      </c>
      <c r="K14" s="33">
        <f t="shared" si="41"/>
        <v>3.3544877606527654</v>
      </c>
      <c r="L14" s="33">
        <f t="shared" si="41"/>
        <v>3.2771084337349397</v>
      </c>
      <c r="M14" s="33">
        <f t="shared" si="41"/>
        <v>1.4705882352941175</v>
      </c>
      <c r="N14" s="33">
        <f t="shared" si="41"/>
        <v>3.2197853476434903</v>
      </c>
      <c r="O14" s="33">
        <f t="shared" ref="O14:Q14" si="42">O30/O32*100</f>
        <v>2.5547445255474455</v>
      </c>
      <c r="P14" s="33">
        <f t="shared" si="42"/>
        <v>1.5873015873015872</v>
      </c>
      <c r="Q14" s="33">
        <f t="shared" si="42"/>
        <v>2.5277161862527717</v>
      </c>
      <c r="R14" s="33">
        <f t="shared" si="9"/>
        <v>2.8632478632478633</v>
      </c>
      <c r="S14" s="33">
        <f t="shared" ref="S14" si="43">S30/S32*100</f>
        <v>3.5714285714285712</v>
      </c>
      <c r="T14" s="69">
        <f t="shared" si="10"/>
        <v>2.8877887788778875</v>
      </c>
      <c r="U14" s="33">
        <f t="shared" si="11"/>
        <v>2.9203170629954109</v>
      </c>
      <c r="V14" s="69">
        <f t="shared" si="12"/>
        <v>2.8037383177570092</v>
      </c>
      <c r="W14" s="69">
        <f t="shared" si="28"/>
        <v>2.9153354632587858</v>
      </c>
      <c r="X14" s="33">
        <f t="shared" si="13"/>
        <v>2.161100196463654</v>
      </c>
      <c r="Y14" s="69">
        <f t="shared" si="14"/>
        <v>0</v>
      </c>
      <c r="Z14" s="69">
        <f t="shared" si="15"/>
        <v>2.0715630885122414</v>
      </c>
      <c r="AA14" s="33">
        <f t="shared" si="16"/>
        <v>2.1448806151355728</v>
      </c>
      <c r="AB14" s="69">
        <f t="shared" si="17"/>
        <v>0.88495575221238942</v>
      </c>
      <c r="AC14" s="69">
        <f t="shared" si="18"/>
        <v>2.0897832817337458</v>
      </c>
      <c r="AD14" s="33">
        <f t="shared" si="19"/>
        <v>2.5756336876533115</v>
      </c>
      <c r="AE14" s="69">
        <f t="shared" si="20"/>
        <v>0.90090090090090091</v>
      </c>
      <c r="AF14" s="69">
        <f t="shared" si="21"/>
        <v>2.5029331247555726</v>
      </c>
      <c r="AG14" s="33">
        <f t="shared" si="22"/>
        <v>2.7336534909493908</v>
      </c>
      <c r="AH14" s="69">
        <f t="shared" si="23"/>
        <v>0</v>
      </c>
      <c r="AI14" s="69">
        <f t="shared" si="24"/>
        <v>2.5928521373510862</v>
      </c>
    </row>
    <row r="15" spans="2:35" x14ac:dyDescent="0.25">
      <c r="B15" s="2" t="s">
        <v>97</v>
      </c>
      <c r="C15" s="33">
        <f t="shared" ref="C15:N15" si="44">C31/C32*100</f>
        <v>12.281530467642892</v>
      </c>
      <c r="D15" s="33">
        <f t="shared" si="44"/>
        <v>12</v>
      </c>
      <c r="E15" s="33">
        <f t="shared" si="44"/>
        <v>12.271897810218977</v>
      </c>
      <c r="F15" s="33">
        <f t="shared" si="44"/>
        <v>13.608870967741934</v>
      </c>
      <c r="G15" s="33">
        <f t="shared" si="44"/>
        <v>14.035087719298245</v>
      </c>
      <c r="H15" s="33">
        <f t="shared" si="44"/>
        <v>13.62077413032827</v>
      </c>
      <c r="I15" s="33">
        <f t="shared" si="44"/>
        <v>14.373522458628843</v>
      </c>
      <c r="J15" s="33">
        <f t="shared" si="44"/>
        <v>21.978021978021978</v>
      </c>
      <c r="K15" s="33">
        <f t="shared" si="44"/>
        <v>14.68721668177697</v>
      </c>
      <c r="L15" s="33">
        <f t="shared" si="44"/>
        <v>16.819277108433734</v>
      </c>
      <c r="M15" s="33">
        <f t="shared" si="44"/>
        <v>16.176470588235293</v>
      </c>
      <c r="N15" s="33">
        <f t="shared" si="44"/>
        <v>16.798880074661689</v>
      </c>
      <c r="O15" s="33">
        <f t="shared" ref="O15:Q15" si="45">O31/O32*100</f>
        <v>19.799270072992702</v>
      </c>
      <c r="P15" s="33">
        <f t="shared" si="45"/>
        <v>20.634920634920633</v>
      </c>
      <c r="Q15" s="33">
        <f t="shared" si="45"/>
        <v>19.82261640798226</v>
      </c>
      <c r="R15" s="33">
        <f t="shared" si="9"/>
        <v>21.70940170940171</v>
      </c>
      <c r="S15" s="33">
        <f t="shared" ref="S15" si="46">S31/S32*100</f>
        <v>28.571428571428569</v>
      </c>
      <c r="T15" s="69">
        <f t="shared" si="10"/>
        <v>21.947194719471945</v>
      </c>
      <c r="U15" s="33">
        <f t="shared" si="11"/>
        <v>22.820191906549852</v>
      </c>
      <c r="V15" s="69">
        <f t="shared" si="12"/>
        <v>19.626168224299064</v>
      </c>
      <c r="W15" s="69">
        <f t="shared" si="28"/>
        <v>22.683706070287542</v>
      </c>
      <c r="X15" s="33">
        <f t="shared" si="13"/>
        <v>19.56777996070727</v>
      </c>
      <c r="Y15" s="69">
        <f t="shared" si="14"/>
        <v>17.272727272727273</v>
      </c>
      <c r="Z15" s="69">
        <f t="shared" si="15"/>
        <v>19.472693032015066</v>
      </c>
      <c r="AA15" s="33">
        <f t="shared" si="16"/>
        <v>19.587211655200324</v>
      </c>
      <c r="AB15" s="69">
        <f t="shared" si="17"/>
        <v>15.929203539823009</v>
      </c>
      <c r="AC15" s="69">
        <f t="shared" si="18"/>
        <v>19.427244582043343</v>
      </c>
      <c r="AD15" s="33">
        <f t="shared" si="19"/>
        <v>20.400654129190514</v>
      </c>
      <c r="AE15" s="69">
        <f t="shared" si="20"/>
        <v>12.612612612612612</v>
      </c>
      <c r="AF15" s="69">
        <f t="shared" si="21"/>
        <v>20.062573328118891</v>
      </c>
      <c r="AG15" s="33">
        <f t="shared" si="22"/>
        <v>18.027336534909495</v>
      </c>
      <c r="AH15" s="69">
        <f t="shared" si="23"/>
        <v>15.646258503401361</v>
      </c>
      <c r="AI15" s="69">
        <f>+AI31/$AI$32*100</f>
        <v>17.904695164681151</v>
      </c>
    </row>
    <row r="16" spans="2:35" x14ac:dyDescent="0.25">
      <c r="B16" s="14" t="s">
        <v>98</v>
      </c>
      <c r="C16" s="88">
        <f t="shared" ref="C16:N16" si="47">SUM(C7:C15)</f>
        <v>100.00000000000001</v>
      </c>
      <c r="D16" s="88">
        <f t="shared" si="47"/>
        <v>100</v>
      </c>
      <c r="E16" s="88">
        <f t="shared" si="47"/>
        <v>100</v>
      </c>
      <c r="F16" s="88">
        <f t="shared" si="47"/>
        <v>100.00000000000001</v>
      </c>
      <c r="G16" s="88">
        <f t="shared" si="47"/>
        <v>99.999999999999986</v>
      </c>
      <c r="H16" s="88">
        <f t="shared" si="47"/>
        <v>100</v>
      </c>
      <c r="I16" s="88">
        <f t="shared" si="47"/>
        <v>100</v>
      </c>
      <c r="J16" s="88">
        <f t="shared" si="47"/>
        <v>100</v>
      </c>
      <c r="K16" s="88">
        <f t="shared" si="47"/>
        <v>100</v>
      </c>
      <c r="L16" s="88">
        <f t="shared" si="47"/>
        <v>100</v>
      </c>
      <c r="M16" s="88">
        <f t="shared" si="47"/>
        <v>99.999999999999986</v>
      </c>
      <c r="N16" s="88">
        <f t="shared" si="47"/>
        <v>100</v>
      </c>
      <c r="O16" s="88">
        <f t="shared" ref="O16:Q16" si="48">SUM(O7:O15)</f>
        <v>100.00000000000001</v>
      </c>
      <c r="P16" s="88">
        <f t="shared" si="48"/>
        <v>99.999999999999986</v>
      </c>
      <c r="Q16" s="88">
        <f t="shared" si="48"/>
        <v>100</v>
      </c>
      <c r="R16" s="33">
        <f>SUM(R7:R15)</f>
        <v>100</v>
      </c>
      <c r="S16" s="88">
        <f t="shared" ref="S16:T16" si="49">SUM(S7:S15)</f>
        <v>99.999999999999986</v>
      </c>
      <c r="T16" s="88">
        <f t="shared" si="49"/>
        <v>100</v>
      </c>
      <c r="U16" s="33">
        <f t="shared" si="11"/>
        <v>100</v>
      </c>
      <c r="V16" s="69">
        <f t="shared" si="12"/>
        <v>100</v>
      </c>
      <c r="W16" s="69">
        <f t="shared" si="28"/>
        <v>100</v>
      </c>
      <c r="X16" s="33">
        <v>100</v>
      </c>
      <c r="Y16" s="69">
        <f>SUM(Y7:Y15)</f>
        <v>100</v>
      </c>
      <c r="Z16" s="69">
        <f>SUM(Z7:Z15)</f>
        <v>100</v>
      </c>
      <c r="AA16" s="33">
        <f t="shared" si="16"/>
        <v>100</v>
      </c>
      <c r="AB16" s="69">
        <f t="shared" si="17"/>
        <v>100</v>
      </c>
      <c r="AC16" s="69">
        <f t="shared" si="18"/>
        <v>100</v>
      </c>
      <c r="AD16" s="33">
        <f t="shared" si="19"/>
        <v>100</v>
      </c>
      <c r="AE16" s="69">
        <f t="shared" si="20"/>
        <v>100</v>
      </c>
      <c r="AF16" s="69">
        <f t="shared" si="21"/>
        <v>100</v>
      </c>
      <c r="AG16" s="33">
        <f t="shared" si="22"/>
        <v>100</v>
      </c>
      <c r="AH16" s="69">
        <f t="shared" si="23"/>
        <v>100</v>
      </c>
      <c r="AI16" s="69">
        <f t="shared" si="24"/>
        <v>100</v>
      </c>
    </row>
    <row r="17" spans="2:35" x14ac:dyDescent="0.25">
      <c r="B17" s="2" t="s">
        <v>99</v>
      </c>
      <c r="C17" s="34">
        <f>C32</f>
        <v>2117</v>
      </c>
      <c r="D17" s="33">
        <f t="shared" ref="D17:N17" si="50">D32</f>
        <v>75</v>
      </c>
      <c r="E17" s="34">
        <f t="shared" si="50"/>
        <v>2192</v>
      </c>
      <c r="F17" s="34">
        <f t="shared" si="50"/>
        <v>1984</v>
      </c>
      <c r="G17" s="33">
        <f t="shared" si="50"/>
        <v>57</v>
      </c>
      <c r="H17" s="34">
        <f t="shared" si="50"/>
        <v>2041</v>
      </c>
      <c r="I17" s="34">
        <f t="shared" si="50"/>
        <v>2115</v>
      </c>
      <c r="J17" s="33">
        <f t="shared" si="50"/>
        <v>91</v>
      </c>
      <c r="K17" s="34">
        <f t="shared" si="50"/>
        <v>2206</v>
      </c>
      <c r="L17" s="34">
        <f t="shared" si="50"/>
        <v>2075</v>
      </c>
      <c r="M17" s="33">
        <f t="shared" si="50"/>
        <v>68</v>
      </c>
      <c r="N17" s="34">
        <f t="shared" si="50"/>
        <v>2143</v>
      </c>
      <c r="O17" s="10">
        <v>2192</v>
      </c>
      <c r="P17" s="10">
        <v>63</v>
      </c>
      <c r="Q17" s="10">
        <v>2255</v>
      </c>
      <c r="R17" s="34">
        <f>R32</f>
        <v>2340</v>
      </c>
      <c r="S17" s="33">
        <v>84</v>
      </c>
      <c r="T17" s="34">
        <f>T32</f>
        <v>2424</v>
      </c>
      <c r="U17" s="33">
        <v>2397</v>
      </c>
      <c r="V17" s="34">
        <v>107</v>
      </c>
      <c r="W17" s="34">
        <v>2504</v>
      </c>
      <c r="X17" s="34">
        <v>2545</v>
      </c>
      <c r="Y17" s="69">
        <v>110</v>
      </c>
      <c r="Z17" s="10">
        <f>SUM(X17:Y17)</f>
        <v>2655</v>
      </c>
      <c r="AA17" s="34">
        <f>AA32</f>
        <v>2471</v>
      </c>
      <c r="AB17" s="69">
        <f>AB32</f>
        <v>113</v>
      </c>
      <c r="AC17" s="10">
        <f>SUM(AA17:AB17)</f>
        <v>2584</v>
      </c>
      <c r="AD17" s="34">
        <f t="shared" ref="AD17:AI17" si="51">AD32</f>
        <v>2446</v>
      </c>
      <c r="AE17" s="69">
        <f t="shared" si="51"/>
        <v>111</v>
      </c>
      <c r="AF17" s="10">
        <f t="shared" si="51"/>
        <v>2557</v>
      </c>
      <c r="AG17" s="34">
        <f t="shared" si="51"/>
        <v>2707</v>
      </c>
      <c r="AH17" s="69">
        <f t="shared" si="51"/>
        <v>147</v>
      </c>
      <c r="AI17" s="10">
        <f t="shared" si="51"/>
        <v>2854</v>
      </c>
    </row>
    <row r="18" spans="2:35" x14ac:dyDescent="0.25">
      <c r="B18" s="22"/>
      <c r="C18" s="3"/>
      <c r="D18" s="3"/>
      <c r="E18" s="3"/>
      <c r="F18" s="3"/>
      <c r="G18" s="3"/>
      <c r="H18" s="3"/>
      <c r="I18" s="3"/>
      <c r="J18" s="3"/>
      <c r="K18" s="3"/>
      <c r="L18" s="3"/>
      <c r="M18" s="3"/>
      <c r="N18" s="3"/>
      <c r="Q18" s="2"/>
      <c r="R18" s="2"/>
      <c r="S18" s="2"/>
      <c r="T18" s="2"/>
      <c r="U18" s="102"/>
      <c r="V18" s="102"/>
      <c r="W18" s="102"/>
      <c r="X18" s="107"/>
      <c r="Y18" s="107"/>
      <c r="Z18" s="107"/>
      <c r="AA18" s="107"/>
      <c r="AB18" s="107"/>
      <c r="AC18" s="107"/>
      <c r="AD18" s="107"/>
      <c r="AE18" s="107"/>
      <c r="AF18" s="107"/>
      <c r="AG18" s="107"/>
      <c r="AH18" s="107"/>
      <c r="AI18" s="107"/>
    </row>
    <row r="19" spans="2:35" x14ac:dyDescent="0.25">
      <c r="B19" s="65" t="s">
        <v>260</v>
      </c>
      <c r="C19" s="3"/>
      <c r="D19" s="3"/>
      <c r="E19" s="3"/>
      <c r="F19" s="3"/>
      <c r="G19" s="3"/>
      <c r="H19" s="3"/>
      <c r="I19" s="3"/>
      <c r="J19" s="3"/>
      <c r="K19" s="3"/>
      <c r="L19" s="3"/>
      <c r="M19" s="3"/>
      <c r="N19" s="3"/>
      <c r="Q19" s="2"/>
      <c r="R19" s="2"/>
      <c r="S19" s="2"/>
      <c r="T19" s="2"/>
      <c r="U19" s="2"/>
      <c r="V19" s="2"/>
      <c r="W19" s="2"/>
      <c r="X19" s="10"/>
      <c r="Y19" s="10"/>
      <c r="Z19" s="10"/>
      <c r="AA19" s="10"/>
      <c r="AB19" s="10"/>
      <c r="AC19" s="10"/>
      <c r="AD19" s="10"/>
      <c r="AE19" s="10"/>
      <c r="AF19" s="10"/>
      <c r="AG19" s="10"/>
      <c r="AH19" s="10"/>
      <c r="AI19" s="10"/>
    </row>
    <row r="20" spans="2:35" x14ac:dyDescent="0.25">
      <c r="B20" s="11"/>
      <c r="C20" s="3"/>
      <c r="D20" s="3"/>
      <c r="E20" s="3"/>
      <c r="F20" s="3"/>
      <c r="G20" s="3"/>
      <c r="H20" s="3"/>
      <c r="I20" s="3"/>
      <c r="J20" s="3"/>
      <c r="K20" s="3"/>
      <c r="L20" s="3"/>
      <c r="M20" s="3"/>
      <c r="N20" s="3"/>
      <c r="Q20" s="2"/>
      <c r="R20" s="2"/>
      <c r="S20" s="2"/>
      <c r="T20" s="2"/>
      <c r="U20" s="2"/>
      <c r="V20" s="2"/>
      <c r="W20" s="2"/>
      <c r="X20" s="10"/>
      <c r="Y20" s="10"/>
      <c r="Z20" s="10"/>
      <c r="AA20" s="10"/>
      <c r="AB20" s="10"/>
      <c r="AC20" s="10"/>
      <c r="AD20" s="10"/>
      <c r="AE20" s="10"/>
      <c r="AF20" s="10"/>
      <c r="AG20" s="10"/>
      <c r="AH20" s="10"/>
      <c r="AI20" s="10"/>
    </row>
    <row r="21" spans="2:35" x14ac:dyDescent="0.25">
      <c r="B21" s="11"/>
      <c r="C21" s="3"/>
      <c r="D21" s="3"/>
      <c r="E21" s="3"/>
      <c r="F21" s="3"/>
      <c r="G21" s="3"/>
      <c r="H21" s="3"/>
      <c r="I21" s="3"/>
      <c r="J21" s="3"/>
      <c r="K21" s="3"/>
      <c r="L21" s="3"/>
      <c r="M21" s="3"/>
      <c r="N21" s="3"/>
      <c r="Q21" s="2"/>
      <c r="R21" s="2"/>
      <c r="S21" s="2"/>
      <c r="T21" s="2"/>
      <c r="U21" s="2"/>
      <c r="V21" s="2"/>
      <c r="W21" s="2"/>
      <c r="X21" s="10"/>
      <c r="Y21" s="10"/>
      <c r="Z21" s="10"/>
      <c r="AA21" s="10"/>
      <c r="AB21" s="10"/>
      <c r="AC21" s="10"/>
      <c r="AD21" s="10"/>
      <c r="AE21" s="10"/>
      <c r="AF21" s="10"/>
      <c r="AG21" s="10"/>
      <c r="AH21" s="10"/>
      <c r="AI21" s="10"/>
    </row>
    <row r="22" spans="2:35" x14ac:dyDescent="0.25">
      <c r="B22" s="32" t="s">
        <v>102</v>
      </c>
      <c r="C22" s="3"/>
      <c r="D22" s="3"/>
      <c r="E22" s="3"/>
      <c r="F22" s="3"/>
      <c r="G22" s="3"/>
      <c r="H22" s="3"/>
      <c r="I22" s="3"/>
      <c r="J22" s="3"/>
      <c r="K22" s="3"/>
      <c r="L22" s="3"/>
      <c r="M22" s="3"/>
      <c r="N22" s="3"/>
      <c r="Q22" s="2"/>
      <c r="R22" s="2"/>
      <c r="S22" s="2"/>
      <c r="T22" s="2"/>
      <c r="U22" s="2"/>
      <c r="V22" s="2"/>
      <c r="W22" s="2"/>
      <c r="X22" s="10"/>
      <c r="Y22" s="10"/>
      <c r="Z22" s="10"/>
      <c r="AA22" s="10"/>
      <c r="AB22" s="10"/>
      <c r="AC22" s="10"/>
      <c r="AD22" s="10"/>
      <c r="AE22" s="10"/>
      <c r="AF22" s="10"/>
      <c r="AG22" s="10"/>
      <c r="AH22" s="10"/>
      <c r="AI22" s="10"/>
    </row>
    <row r="23" spans="2:35" x14ac:dyDescent="0.25">
      <c r="B23" s="2" t="s">
        <v>89</v>
      </c>
      <c r="C23" s="33">
        <v>180</v>
      </c>
      <c r="D23" s="33">
        <v>13</v>
      </c>
      <c r="E23" s="33">
        <v>193</v>
      </c>
      <c r="F23" s="33">
        <v>187</v>
      </c>
      <c r="G23" s="33">
        <v>9</v>
      </c>
      <c r="H23" s="33">
        <v>196</v>
      </c>
      <c r="I23" s="33">
        <v>182</v>
      </c>
      <c r="J23" s="33">
        <v>9</v>
      </c>
      <c r="K23" s="33">
        <v>191</v>
      </c>
      <c r="L23" s="33">
        <v>166</v>
      </c>
      <c r="M23" s="33">
        <v>12</v>
      </c>
      <c r="N23" s="33">
        <v>178</v>
      </c>
      <c r="O23" s="2">
        <v>173</v>
      </c>
      <c r="P23" s="2">
        <v>9</v>
      </c>
      <c r="Q23" s="2">
        <v>182</v>
      </c>
      <c r="R23" s="33">
        <v>173</v>
      </c>
      <c r="S23" s="33">
        <v>12</v>
      </c>
      <c r="T23" s="33">
        <v>185</v>
      </c>
      <c r="U23" s="33">
        <v>176</v>
      </c>
      <c r="V23" s="33">
        <v>11</v>
      </c>
      <c r="W23" s="33">
        <v>187</v>
      </c>
      <c r="X23" s="33">
        <v>182</v>
      </c>
      <c r="Y23" s="33">
        <v>8</v>
      </c>
      <c r="Z23" s="33">
        <v>190</v>
      </c>
      <c r="AA23" s="33">
        <v>156</v>
      </c>
      <c r="AB23" s="33">
        <v>14</v>
      </c>
      <c r="AC23" s="33">
        <f>SUM(AA23:AB23)</f>
        <v>170</v>
      </c>
      <c r="AD23" s="33">
        <v>154</v>
      </c>
      <c r="AE23" s="33">
        <v>11</v>
      </c>
      <c r="AF23" s="33">
        <f>SUM(AD23:AE23)</f>
        <v>165</v>
      </c>
      <c r="AG23" s="33">
        <v>173</v>
      </c>
      <c r="AH23" s="33">
        <v>11</v>
      </c>
      <c r="AI23" s="33">
        <v>184</v>
      </c>
    </row>
    <row r="24" spans="2:35" x14ac:dyDescent="0.25">
      <c r="B24" s="2" t="s">
        <v>90</v>
      </c>
      <c r="C24" s="33">
        <v>351</v>
      </c>
      <c r="D24" s="33">
        <v>13</v>
      </c>
      <c r="E24" s="33">
        <v>364</v>
      </c>
      <c r="F24" s="33">
        <v>305</v>
      </c>
      <c r="G24" s="33">
        <v>16</v>
      </c>
      <c r="H24" s="33">
        <v>321</v>
      </c>
      <c r="I24" s="33">
        <v>347</v>
      </c>
      <c r="J24" s="33">
        <v>15</v>
      </c>
      <c r="K24" s="33">
        <v>362</v>
      </c>
      <c r="L24" s="33">
        <v>324</v>
      </c>
      <c r="M24" s="33">
        <v>16</v>
      </c>
      <c r="N24" s="33">
        <v>340</v>
      </c>
      <c r="O24" s="2">
        <v>380</v>
      </c>
      <c r="P24" s="2">
        <v>14</v>
      </c>
      <c r="Q24" s="2">
        <v>394</v>
      </c>
      <c r="R24" s="23">
        <v>378</v>
      </c>
      <c r="S24" s="23">
        <v>18</v>
      </c>
      <c r="T24" s="33">
        <f t="shared" ref="T24:T30" si="52">SUM(R24:S24)</f>
        <v>396</v>
      </c>
      <c r="U24" s="23">
        <v>428</v>
      </c>
      <c r="V24" s="23">
        <v>25</v>
      </c>
      <c r="W24" s="33">
        <v>453</v>
      </c>
      <c r="X24" s="33">
        <v>419</v>
      </c>
      <c r="Y24" s="33">
        <v>20</v>
      </c>
      <c r="Z24" s="33">
        <v>439</v>
      </c>
      <c r="AA24" s="33">
        <v>417</v>
      </c>
      <c r="AB24" s="33">
        <v>13</v>
      </c>
      <c r="AC24" s="33">
        <f t="shared" ref="AC24:AC31" si="53">SUM(AA24:AB24)</f>
        <v>430</v>
      </c>
      <c r="AD24" s="33">
        <v>368</v>
      </c>
      <c r="AE24" s="33">
        <v>13</v>
      </c>
      <c r="AF24" s="33">
        <f t="shared" ref="AF24:AF28" si="54">SUM(AD24:AE24)</f>
        <v>381</v>
      </c>
      <c r="AG24" s="33">
        <v>389</v>
      </c>
      <c r="AH24" s="33">
        <v>15</v>
      </c>
      <c r="AI24" s="33">
        <v>404</v>
      </c>
    </row>
    <row r="25" spans="2:35" x14ac:dyDescent="0.25">
      <c r="B25" s="2" t="s">
        <v>91</v>
      </c>
      <c r="C25" s="33">
        <v>529</v>
      </c>
      <c r="D25" s="33">
        <v>20</v>
      </c>
      <c r="E25" s="33">
        <v>549</v>
      </c>
      <c r="F25" s="33">
        <v>488</v>
      </c>
      <c r="G25" s="33">
        <v>9</v>
      </c>
      <c r="H25" s="33">
        <v>497</v>
      </c>
      <c r="I25" s="33">
        <v>528</v>
      </c>
      <c r="J25" s="33">
        <v>15</v>
      </c>
      <c r="K25" s="33">
        <v>543</v>
      </c>
      <c r="L25" s="33">
        <v>523</v>
      </c>
      <c r="M25" s="33">
        <v>12</v>
      </c>
      <c r="N25" s="33">
        <v>535</v>
      </c>
      <c r="O25" s="2">
        <f>380+129</f>
        <v>509</v>
      </c>
      <c r="P25" s="2">
        <v>12</v>
      </c>
      <c r="Q25" s="2">
        <f>135+386</f>
        <v>521</v>
      </c>
      <c r="R25" s="23">
        <v>555</v>
      </c>
      <c r="S25" s="23">
        <v>10</v>
      </c>
      <c r="T25" s="33">
        <f t="shared" si="52"/>
        <v>565</v>
      </c>
      <c r="U25" s="23">
        <v>611</v>
      </c>
      <c r="V25" s="23">
        <v>20</v>
      </c>
      <c r="W25" s="33">
        <v>631</v>
      </c>
      <c r="X25" s="33">
        <v>720</v>
      </c>
      <c r="Y25" s="33">
        <v>36</v>
      </c>
      <c r="Z25" s="33">
        <v>756</v>
      </c>
      <c r="AA25" s="33">
        <v>709</v>
      </c>
      <c r="AB25" s="33">
        <v>43</v>
      </c>
      <c r="AC25" s="33">
        <f t="shared" si="53"/>
        <v>752</v>
      </c>
      <c r="AD25" s="33">
        <v>735</v>
      </c>
      <c r="AE25" s="33">
        <v>54</v>
      </c>
      <c r="AF25" s="33">
        <f t="shared" si="54"/>
        <v>789</v>
      </c>
      <c r="AG25" s="33">
        <v>914</v>
      </c>
      <c r="AH25" s="33">
        <v>69</v>
      </c>
      <c r="AI25" s="33">
        <v>983</v>
      </c>
    </row>
    <row r="26" spans="2:35" x14ac:dyDescent="0.25">
      <c r="B26" s="2" t="s">
        <v>92</v>
      </c>
      <c r="C26" s="33">
        <v>280</v>
      </c>
      <c r="D26" s="33">
        <v>6</v>
      </c>
      <c r="E26" s="33">
        <v>286</v>
      </c>
      <c r="F26" s="33">
        <v>237</v>
      </c>
      <c r="G26" s="33">
        <v>4</v>
      </c>
      <c r="H26" s="33">
        <v>241</v>
      </c>
      <c r="I26" s="33">
        <v>244</v>
      </c>
      <c r="J26" s="33">
        <v>9</v>
      </c>
      <c r="K26" s="33">
        <v>253</v>
      </c>
      <c r="L26" s="33">
        <v>234</v>
      </c>
      <c r="M26" s="33">
        <v>9</v>
      </c>
      <c r="N26" s="33">
        <v>243</v>
      </c>
      <c r="O26" s="2">
        <v>214</v>
      </c>
      <c r="P26" s="2">
        <v>0</v>
      </c>
      <c r="Q26" s="2">
        <v>214</v>
      </c>
      <c r="R26" s="23">
        <f>205+9</f>
        <v>214</v>
      </c>
      <c r="S26" s="23">
        <v>7</v>
      </c>
      <c r="T26" s="33">
        <f t="shared" si="52"/>
        <v>221</v>
      </c>
      <c r="U26" s="23">
        <v>171</v>
      </c>
      <c r="V26" s="23">
        <v>9</v>
      </c>
      <c r="W26" s="33">
        <v>180</v>
      </c>
      <c r="X26" s="33">
        <v>183</v>
      </c>
      <c r="Y26" s="33">
        <v>7</v>
      </c>
      <c r="Z26" s="33">
        <v>190</v>
      </c>
      <c r="AA26" s="33">
        <v>157</v>
      </c>
      <c r="AB26" s="33">
        <v>11</v>
      </c>
      <c r="AC26" s="33">
        <f t="shared" si="53"/>
        <v>168</v>
      </c>
      <c r="AD26" s="33">
        <v>162</v>
      </c>
      <c r="AE26" s="33">
        <v>4</v>
      </c>
      <c r="AF26" s="33">
        <f t="shared" si="54"/>
        <v>166</v>
      </c>
      <c r="AG26" s="33">
        <v>173</v>
      </c>
      <c r="AH26" s="33">
        <v>10</v>
      </c>
      <c r="AI26" s="33">
        <v>183</v>
      </c>
    </row>
    <row r="27" spans="2:35" x14ac:dyDescent="0.25">
      <c r="B27" s="2" t="s">
        <v>93</v>
      </c>
      <c r="C27" s="33">
        <v>250</v>
      </c>
      <c r="D27" s="33">
        <v>3</v>
      </c>
      <c r="E27" s="33">
        <v>253</v>
      </c>
      <c r="F27" s="33">
        <v>204</v>
      </c>
      <c r="G27" s="33">
        <v>4</v>
      </c>
      <c r="H27" s="33">
        <v>208</v>
      </c>
      <c r="I27" s="33">
        <v>210</v>
      </c>
      <c r="J27" s="33">
        <v>9</v>
      </c>
      <c r="K27" s="33">
        <v>219</v>
      </c>
      <c r="L27" s="33">
        <v>173</v>
      </c>
      <c r="M27" s="33">
        <v>3</v>
      </c>
      <c r="N27" s="33">
        <v>176</v>
      </c>
      <c r="O27" s="2">
        <v>148</v>
      </c>
      <c r="P27" s="2">
        <v>3</v>
      </c>
      <c r="Q27" s="2">
        <v>151</v>
      </c>
      <c r="R27" s="23">
        <v>146</v>
      </c>
      <c r="S27" s="23">
        <v>1</v>
      </c>
      <c r="T27" s="33">
        <f t="shared" si="52"/>
        <v>147</v>
      </c>
      <c r="U27" s="23">
        <v>135</v>
      </c>
      <c r="V27" s="23">
        <v>7</v>
      </c>
      <c r="W27" s="33">
        <v>142</v>
      </c>
      <c r="X27" s="33">
        <v>146</v>
      </c>
      <c r="Y27" s="33">
        <v>9</v>
      </c>
      <c r="Z27" s="33">
        <v>155</v>
      </c>
      <c r="AA27" s="33">
        <v>142</v>
      </c>
      <c r="AB27" s="33">
        <v>5</v>
      </c>
      <c r="AC27" s="33">
        <f t="shared" si="53"/>
        <v>147</v>
      </c>
      <c r="AD27" s="33">
        <v>129</v>
      </c>
      <c r="AE27" s="33">
        <v>7</v>
      </c>
      <c r="AF27" s="33">
        <f t="shared" si="54"/>
        <v>136</v>
      </c>
      <c r="AG27" s="33">
        <v>117</v>
      </c>
      <c r="AH27" s="33">
        <v>5</v>
      </c>
      <c r="AI27" s="33">
        <v>122</v>
      </c>
    </row>
    <row r="28" spans="2:35" x14ac:dyDescent="0.25">
      <c r="B28" s="2" t="s">
        <v>94</v>
      </c>
      <c r="C28" s="33">
        <v>143</v>
      </c>
      <c r="D28" s="33">
        <v>3</v>
      </c>
      <c r="E28" s="33">
        <v>146</v>
      </c>
      <c r="F28" s="33">
        <v>159</v>
      </c>
      <c r="G28" s="33">
        <v>2</v>
      </c>
      <c r="H28" s="33">
        <v>161</v>
      </c>
      <c r="I28" s="33">
        <v>160</v>
      </c>
      <c r="J28" s="33">
        <v>2</v>
      </c>
      <c r="K28" s="33">
        <v>162</v>
      </c>
      <c r="L28" s="33">
        <v>171</v>
      </c>
      <c r="M28" s="33">
        <v>1</v>
      </c>
      <c r="N28" s="33">
        <v>172</v>
      </c>
      <c r="O28" s="2">
        <f>138+70</f>
        <v>208</v>
      </c>
      <c r="P28" s="2">
        <v>5</v>
      </c>
      <c r="Q28" s="2">
        <f>140+73</f>
        <v>213</v>
      </c>
      <c r="R28" s="23">
        <f>168+70</f>
        <v>238</v>
      </c>
      <c r="S28" s="23">
        <v>6</v>
      </c>
      <c r="T28" s="33">
        <f>172+72</f>
        <v>244</v>
      </c>
      <c r="U28" s="23">
        <v>203</v>
      </c>
      <c r="V28" s="23">
        <v>6</v>
      </c>
      <c r="W28" s="33">
        <v>209</v>
      </c>
      <c r="X28" s="33">
        <v>245</v>
      </c>
      <c r="Y28" s="33">
        <v>4</v>
      </c>
      <c r="Z28" s="33">
        <v>249</v>
      </c>
      <c r="AA28" s="33">
        <v>274</v>
      </c>
      <c r="AB28" s="33">
        <v>3</v>
      </c>
      <c r="AC28" s="33">
        <f t="shared" si="53"/>
        <v>277</v>
      </c>
      <c r="AD28" s="33">
        <v>263</v>
      </c>
      <c r="AE28" s="33">
        <v>3</v>
      </c>
      <c r="AF28" s="33">
        <f t="shared" si="54"/>
        <v>266</v>
      </c>
      <c r="AG28" s="33">
        <v>288</v>
      </c>
      <c r="AH28" s="33">
        <v>6</v>
      </c>
      <c r="AI28" s="33">
        <v>294</v>
      </c>
    </row>
    <row r="29" spans="2:35" x14ac:dyDescent="0.25">
      <c r="B29" s="2" t="s">
        <v>95</v>
      </c>
      <c r="C29" s="33">
        <v>70</v>
      </c>
      <c r="D29" s="33">
        <v>7</v>
      </c>
      <c r="E29" s="33">
        <v>77</v>
      </c>
      <c r="F29" s="33">
        <v>65</v>
      </c>
      <c r="G29" s="33">
        <v>4</v>
      </c>
      <c r="H29" s="33">
        <v>69</v>
      </c>
      <c r="I29" s="33">
        <v>69</v>
      </c>
      <c r="J29" s="33">
        <v>9</v>
      </c>
      <c r="K29" s="33">
        <v>78</v>
      </c>
      <c r="L29" s="33">
        <v>67</v>
      </c>
      <c r="M29" s="33">
        <v>3</v>
      </c>
      <c r="N29" s="33">
        <v>70</v>
      </c>
      <c r="O29" s="2">
        <v>70</v>
      </c>
      <c r="P29" s="2">
        <v>6</v>
      </c>
      <c r="Q29" s="2">
        <v>76</v>
      </c>
      <c r="R29" s="23">
        <v>61</v>
      </c>
      <c r="S29" s="23">
        <v>3</v>
      </c>
      <c r="T29" s="33">
        <f t="shared" si="52"/>
        <v>64</v>
      </c>
      <c r="U29" s="23">
        <v>56</v>
      </c>
      <c r="V29" s="23">
        <v>5</v>
      </c>
      <c r="W29" s="33">
        <v>61</v>
      </c>
      <c r="X29" s="33">
        <v>97</v>
      </c>
      <c r="Y29" s="33">
        <v>7</v>
      </c>
      <c r="Z29" s="33">
        <f>SUM(X29:Y29)</f>
        <v>104</v>
      </c>
      <c r="AA29" s="33">
        <v>79</v>
      </c>
      <c r="AB29" s="33">
        <v>5</v>
      </c>
      <c r="AC29" s="33">
        <f>SUM(AA29:AB29)</f>
        <v>84</v>
      </c>
      <c r="AD29" s="33">
        <v>73</v>
      </c>
      <c r="AE29" s="33">
        <v>4</v>
      </c>
      <c r="AF29" s="33">
        <f>SUM(AD29:AE29)</f>
        <v>77</v>
      </c>
      <c r="AG29" s="33">
        <v>91</v>
      </c>
      <c r="AH29" s="33">
        <v>8</v>
      </c>
      <c r="AI29" s="33">
        <v>99</v>
      </c>
    </row>
    <row r="30" spans="2:35" x14ac:dyDescent="0.25">
      <c r="B30" s="2" t="s">
        <v>96</v>
      </c>
      <c r="C30" s="33">
        <v>54</v>
      </c>
      <c r="D30" s="33">
        <v>1</v>
      </c>
      <c r="E30" s="33">
        <v>55</v>
      </c>
      <c r="F30" s="33">
        <v>69</v>
      </c>
      <c r="G30" s="33">
        <v>1</v>
      </c>
      <c r="H30" s="33">
        <v>70</v>
      </c>
      <c r="I30" s="33">
        <v>71</v>
      </c>
      <c r="J30" s="33">
        <v>3</v>
      </c>
      <c r="K30" s="33">
        <v>74</v>
      </c>
      <c r="L30" s="33">
        <v>68</v>
      </c>
      <c r="M30" s="33">
        <v>1</v>
      </c>
      <c r="N30" s="33">
        <v>69</v>
      </c>
      <c r="O30" s="2">
        <v>56</v>
      </c>
      <c r="P30" s="2">
        <v>1</v>
      </c>
      <c r="Q30" s="2">
        <v>57</v>
      </c>
      <c r="R30" s="23">
        <v>67</v>
      </c>
      <c r="S30" s="23">
        <v>3</v>
      </c>
      <c r="T30" s="33">
        <f t="shared" si="52"/>
        <v>70</v>
      </c>
      <c r="U30" s="23">
        <v>70</v>
      </c>
      <c r="V30" s="23">
        <v>3</v>
      </c>
      <c r="W30" s="33">
        <v>73</v>
      </c>
      <c r="X30" s="33">
        <v>55</v>
      </c>
      <c r="Y30" s="33">
        <v>0</v>
      </c>
      <c r="Z30" s="33">
        <v>55</v>
      </c>
      <c r="AA30" s="33">
        <v>53</v>
      </c>
      <c r="AB30" s="33">
        <v>1</v>
      </c>
      <c r="AC30" s="33">
        <f t="shared" si="53"/>
        <v>54</v>
      </c>
      <c r="AD30" s="33">
        <v>63</v>
      </c>
      <c r="AE30" s="33">
        <v>1</v>
      </c>
      <c r="AF30" s="33">
        <f t="shared" ref="AF30:AF31" si="55">SUM(AD30:AE30)</f>
        <v>64</v>
      </c>
      <c r="AG30" s="33">
        <v>74</v>
      </c>
      <c r="AH30" s="33">
        <v>0</v>
      </c>
      <c r="AI30" s="33">
        <v>74</v>
      </c>
    </row>
    <row r="31" spans="2:35" x14ac:dyDescent="0.25">
      <c r="B31" s="2" t="s">
        <v>97</v>
      </c>
      <c r="C31" s="33">
        <v>260</v>
      </c>
      <c r="D31" s="33">
        <v>9</v>
      </c>
      <c r="E31" s="33">
        <v>269</v>
      </c>
      <c r="F31" s="33">
        <v>270</v>
      </c>
      <c r="G31" s="33">
        <v>8</v>
      </c>
      <c r="H31" s="33">
        <v>278</v>
      </c>
      <c r="I31" s="33">
        <v>304</v>
      </c>
      <c r="J31" s="33">
        <v>20</v>
      </c>
      <c r="K31" s="33">
        <v>324</v>
      </c>
      <c r="L31" s="33">
        <v>349</v>
      </c>
      <c r="M31" s="33">
        <v>11</v>
      </c>
      <c r="N31" s="33">
        <v>360</v>
      </c>
      <c r="O31" s="2">
        <v>434</v>
      </c>
      <c r="P31" s="2">
        <v>13</v>
      </c>
      <c r="Q31" s="2">
        <v>447</v>
      </c>
      <c r="R31" s="33">
        <f>27+170+3+198+44+40+26</f>
        <v>508</v>
      </c>
      <c r="S31" s="2">
        <f>1+11+5+1+6</f>
        <v>24</v>
      </c>
      <c r="T31" s="69">
        <f>SUM(R31:S31)</f>
        <v>532</v>
      </c>
      <c r="U31" s="33">
        <v>547</v>
      </c>
      <c r="V31" s="2">
        <v>21</v>
      </c>
      <c r="W31" s="69">
        <v>568</v>
      </c>
      <c r="X31" s="33">
        <v>498</v>
      </c>
      <c r="Y31" s="33">
        <v>19</v>
      </c>
      <c r="Z31" s="33">
        <v>517</v>
      </c>
      <c r="AA31" s="33">
        <v>484</v>
      </c>
      <c r="AB31" s="33">
        <v>18</v>
      </c>
      <c r="AC31" s="33">
        <f t="shared" si="53"/>
        <v>502</v>
      </c>
      <c r="AD31" s="33">
        <v>499</v>
      </c>
      <c r="AE31" s="33">
        <v>14</v>
      </c>
      <c r="AF31" s="33">
        <f t="shared" si="55"/>
        <v>513</v>
      </c>
      <c r="AG31" s="33">
        <v>488</v>
      </c>
      <c r="AH31" s="33">
        <v>23</v>
      </c>
      <c r="AI31" s="33">
        <v>511</v>
      </c>
    </row>
    <row r="32" spans="2:35" x14ac:dyDescent="0.25">
      <c r="C32" s="34">
        <f>SUM(C23:C31)</f>
        <v>2117</v>
      </c>
      <c r="D32" s="33">
        <f t="shared" ref="D32:N32" si="56">SUM(D23:D31)</f>
        <v>75</v>
      </c>
      <c r="E32" s="34">
        <f t="shared" si="56"/>
        <v>2192</v>
      </c>
      <c r="F32" s="34">
        <f t="shared" si="56"/>
        <v>1984</v>
      </c>
      <c r="G32" s="33">
        <f t="shared" si="56"/>
        <v>57</v>
      </c>
      <c r="H32" s="34">
        <f t="shared" si="56"/>
        <v>2041</v>
      </c>
      <c r="I32" s="34">
        <f t="shared" si="56"/>
        <v>2115</v>
      </c>
      <c r="J32" s="33">
        <f t="shared" si="56"/>
        <v>91</v>
      </c>
      <c r="K32" s="34">
        <f t="shared" si="56"/>
        <v>2206</v>
      </c>
      <c r="L32" s="34">
        <f t="shared" si="56"/>
        <v>2075</v>
      </c>
      <c r="M32" s="33">
        <f t="shared" si="56"/>
        <v>68</v>
      </c>
      <c r="N32" s="34">
        <f t="shared" si="56"/>
        <v>2143</v>
      </c>
      <c r="O32" s="10">
        <f>3503-1311</f>
        <v>2192</v>
      </c>
      <c r="P32" s="10">
        <f>132-69</f>
        <v>63</v>
      </c>
      <c r="Q32" s="10">
        <f>3635-1380</f>
        <v>2255</v>
      </c>
      <c r="R32" s="34">
        <f>SUM(R23:R31)</f>
        <v>2340</v>
      </c>
      <c r="S32" s="34">
        <f t="shared" ref="S32:T32" si="57">SUM(S23:S31)</f>
        <v>84</v>
      </c>
      <c r="T32" s="34">
        <f t="shared" si="57"/>
        <v>2424</v>
      </c>
      <c r="U32" s="34">
        <f>SUM(U23:U31)</f>
        <v>2397</v>
      </c>
      <c r="V32" s="34">
        <v>107</v>
      </c>
      <c r="W32" s="34">
        <v>2504</v>
      </c>
      <c r="X32" s="34">
        <f>SUM(X23:X31)</f>
        <v>2545</v>
      </c>
      <c r="Y32" s="33">
        <f t="shared" ref="Y32" si="58">SUM(Y23:Y31)</f>
        <v>110</v>
      </c>
      <c r="Z32" s="34">
        <f>SUM(Z23:Z31)</f>
        <v>2655</v>
      </c>
      <c r="AA32" s="34">
        <v>2471</v>
      </c>
      <c r="AB32" s="33">
        <v>113</v>
      </c>
      <c r="AC32" s="34">
        <f t="shared" ref="AC32:AF32" si="59">SUM(AC23:AC31)</f>
        <v>2584</v>
      </c>
      <c r="AD32" s="34">
        <f t="shared" si="59"/>
        <v>2446</v>
      </c>
      <c r="AE32" s="33">
        <f t="shared" si="59"/>
        <v>111</v>
      </c>
      <c r="AF32" s="34">
        <f t="shared" si="59"/>
        <v>2557</v>
      </c>
      <c r="AG32" s="34">
        <v>2707</v>
      </c>
      <c r="AH32" s="33">
        <v>147</v>
      </c>
      <c r="AI32" s="34">
        <v>2854</v>
      </c>
    </row>
    <row r="33" spans="2:35" x14ac:dyDescent="0.25">
      <c r="R33" s="68"/>
      <c r="S33" s="68"/>
      <c r="T33" s="68"/>
      <c r="U33" s="68"/>
      <c r="V33" s="68"/>
      <c r="W33" s="68"/>
      <c r="X33" s="68"/>
      <c r="Y33" s="68"/>
      <c r="Z33" s="68"/>
      <c r="AA33" s="68"/>
      <c r="AB33" s="68"/>
      <c r="AC33" s="68"/>
      <c r="AD33" s="68"/>
      <c r="AE33" s="68"/>
      <c r="AF33" s="68"/>
      <c r="AG33" s="68"/>
      <c r="AH33" s="68"/>
      <c r="AI33" s="68"/>
    </row>
    <row r="36" spans="2:35" ht="18.75" x14ac:dyDescent="0.3">
      <c r="B36" s="15" t="s">
        <v>125</v>
      </c>
      <c r="C36" s="165">
        <v>2014</v>
      </c>
      <c r="D36" s="165"/>
      <c r="E36" s="165"/>
      <c r="F36" s="165">
        <v>2015</v>
      </c>
      <c r="G36" s="165"/>
      <c r="H36" s="165"/>
      <c r="I36" s="165">
        <v>2016</v>
      </c>
      <c r="J36" s="165"/>
      <c r="K36" s="165"/>
      <c r="L36" s="165">
        <v>2017</v>
      </c>
      <c r="M36" s="165"/>
      <c r="N36" s="165"/>
      <c r="O36" s="165">
        <v>2018</v>
      </c>
      <c r="P36" s="165"/>
      <c r="Q36" s="165"/>
      <c r="R36" s="165">
        <v>2019</v>
      </c>
      <c r="S36" s="165"/>
      <c r="T36" s="165"/>
      <c r="U36" s="165">
        <v>2020</v>
      </c>
      <c r="V36" s="165"/>
      <c r="W36" s="165"/>
      <c r="X36" s="165">
        <v>2021</v>
      </c>
      <c r="Y36" s="165"/>
      <c r="Z36" s="165"/>
      <c r="AA36" s="165">
        <v>2022</v>
      </c>
      <c r="AB36" s="165"/>
      <c r="AC36" s="165"/>
      <c r="AD36" s="165">
        <v>2023</v>
      </c>
      <c r="AE36" s="165"/>
      <c r="AF36" s="165"/>
      <c r="AG36" s="165">
        <v>2024</v>
      </c>
      <c r="AH36" s="165"/>
      <c r="AI36" s="165"/>
    </row>
    <row r="37" spans="2:35" ht="18.75" x14ac:dyDescent="0.3">
      <c r="B37" s="17"/>
      <c r="C37" s="31" t="s">
        <v>100</v>
      </c>
      <c r="D37" s="31" t="s">
        <v>101</v>
      </c>
      <c r="E37" s="31" t="s">
        <v>80</v>
      </c>
      <c r="F37" s="31" t="s">
        <v>100</v>
      </c>
      <c r="G37" s="31" t="s">
        <v>101</v>
      </c>
      <c r="H37" s="31" t="s">
        <v>80</v>
      </c>
      <c r="I37" s="31" t="s">
        <v>100</v>
      </c>
      <c r="J37" s="31" t="s">
        <v>101</v>
      </c>
      <c r="K37" s="31" t="s">
        <v>80</v>
      </c>
      <c r="L37" s="31" t="s">
        <v>100</v>
      </c>
      <c r="M37" s="31" t="s">
        <v>101</v>
      </c>
      <c r="N37" s="31" t="s">
        <v>80</v>
      </c>
      <c r="O37" s="31" t="s">
        <v>100</v>
      </c>
      <c r="P37" s="31" t="s">
        <v>101</v>
      </c>
      <c r="Q37" s="31" t="s">
        <v>80</v>
      </c>
      <c r="R37" s="31" t="s">
        <v>100</v>
      </c>
      <c r="S37" s="31" t="s">
        <v>101</v>
      </c>
      <c r="T37" s="31" t="s">
        <v>80</v>
      </c>
      <c r="U37" s="31" t="s">
        <v>100</v>
      </c>
      <c r="V37" s="31" t="s">
        <v>101</v>
      </c>
      <c r="W37" s="31" t="s">
        <v>80</v>
      </c>
      <c r="X37" s="31" t="s">
        <v>100</v>
      </c>
      <c r="Y37" s="31" t="s">
        <v>101</v>
      </c>
      <c r="Z37" s="31" t="s">
        <v>80</v>
      </c>
      <c r="AA37" s="31" t="s">
        <v>100</v>
      </c>
      <c r="AB37" s="31" t="s">
        <v>101</v>
      </c>
      <c r="AC37" s="31" t="s">
        <v>80</v>
      </c>
      <c r="AD37" s="31" t="s">
        <v>100</v>
      </c>
      <c r="AE37" s="31" t="s">
        <v>101</v>
      </c>
      <c r="AF37" s="31" t="s">
        <v>80</v>
      </c>
      <c r="AG37" s="31" t="s">
        <v>100</v>
      </c>
      <c r="AH37" s="31" t="s">
        <v>101</v>
      </c>
      <c r="AI37" s="31" t="s">
        <v>80</v>
      </c>
    </row>
    <row r="38" spans="2:35" x14ac:dyDescent="0.25">
      <c r="B38" s="32" t="s">
        <v>245</v>
      </c>
    </row>
    <row r="39" spans="2:35" x14ac:dyDescent="0.25">
      <c r="B39" s="2" t="s">
        <v>89</v>
      </c>
      <c r="C39" s="33">
        <f t="shared" ref="C39" si="60">C55/C64*100</f>
        <v>25</v>
      </c>
      <c r="D39" s="33">
        <f>D55/D64*100</f>
        <v>31.677018633540371</v>
      </c>
      <c r="E39" s="33">
        <f t="shared" ref="E39" si="61">E55/E64*100</f>
        <v>25.479696564033915</v>
      </c>
      <c r="F39" s="33">
        <f>F55/F64*100</f>
        <v>24.212106053026513</v>
      </c>
      <c r="G39" s="33">
        <f>G55/G64*100</f>
        <v>37.06293706293706</v>
      </c>
      <c r="H39" s="33">
        <f t="shared" ref="H39" si="62">H55/H64*100</f>
        <v>25.070028011204482</v>
      </c>
      <c r="I39" s="33">
        <f>I55/I64*100</f>
        <v>20.8955223880597</v>
      </c>
      <c r="J39" s="33">
        <f>J55/J64*100</f>
        <v>29.936305732484076</v>
      </c>
      <c r="K39" s="33">
        <f t="shared" ref="K39" si="63">K55/K64*100</f>
        <v>21.512385919165581</v>
      </c>
      <c r="L39" s="33">
        <f>L55/L64*100</f>
        <v>21.028744326777609</v>
      </c>
      <c r="M39" s="33">
        <f>M55/M64*100</f>
        <v>29.375</v>
      </c>
      <c r="N39" s="33">
        <f>N55/N64*100</f>
        <v>21.651889874008397</v>
      </c>
      <c r="O39" s="33">
        <f t="shared" ref="O39:Q39" si="64">O55/O64*100</f>
        <v>21.534391534391535</v>
      </c>
      <c r="P39" s="33">
        <f t="shared" si="64"/>
        <v>28.472222222222221</v>
      </c>
      <c r="Q39" s="33">
        <f t="shared" si="64"/>
        <v>22.025565388397247</v>
      </c>
      <c r="R39" s="33">
        <f t="shared" ref="R39:T39" si="65">R55/R64*100</f>
        <v>20.602218700475436</v>
      </c>
      <c r="S39" s="33">
        <f t="shared" si="65"/>
        <v>25.874125874125873</v>
      </c>
      <c r="T39" s="33">
        <f t="shared" si="65"/>
        <v>20.972495088408643</v>
      </c>
      <c r="U39" s="33">
        <f t="shared" ref="U39:W39" si="66">U55/U64*100</f>
        <v>23.357664233576642</v>
      </c>
      <c r="V39" s="33">
        <f t="shared" si="66"/>
        <v>22.480620155038761</v>
      </c>
      <c r="W39" s="33">
        <f t="shared" si="66"/>
        <v>23.293852227862381</v>
      </c>
      <c r="X39" s="33">
        <f t="shared" ref="X39:Z39" si="67">X55/X64*100</f>
        <v>21.358216692586833</v>
      </c>
      <c r="Y39" s="33">
        <f t="shared" si="67"/>
        <v>25.308641975308642</v>
      </c>
      <c r="Z39" s="33">
        <f t="shared" si="67"/>
        <v>21.664275466284074</v>
      </c>
      <c r="AA39" s="33">
        <f t="shared" ref="AA39:AC39" si="68">AA55/AA64*100</f>
        <v>21.617497456765005</v>
      </c>
      <c r="AB39" s="33">
        <f t="shared" si="68"/>
        <v>28.467153284671532</v>
      </c>
      <c r="AC39" s="33">
        <f t="shared" si="68"/>
        <v>22.063718497384688</v>
      </c>
      <c r="AD39" s="33">
        <f t="shared" ref="AD39:AF39" si="69">AD55/AD64*100</f>
        <v>21.272365805168985</v>
      </c>
      <c r="AE39" s="33">
        <f t="shared" si="69"/>
        <v>29.139072847682119</v>
      </c>
      <c r="AF39" s="33">
        <f t="shared" si="69"/>
        <v>21.821544151641241</v>
      </c>
      <c r="AG39" s="33">
        <f t="shared" ref="AG39:AI39" si="70">AG55/AG64*100</f>
        <v>19.971333014811275</v>
      </c>
      <c r="AH39" s="33">
        <f t="shared" si="70"/>
        <v>30.898876404494381</v>
      </c>
      <c r="AI39" s="33">
        <f t="shared" si="70"/>
        <v>20.827829150154116</v>
      </c>
    </row>
    <row r="40" spans="2:35" x14ac:dyDescent="0.25">
      <c r="B40" s="2" t="s">
        <v>90</v>
      </c>
      <c r="C40" s="33">
        <f t="shared" ref="C40" si="71">C56/C64*100</f>
        <v>17.740384615384617</v>
      </c>
      <c r="D40" s="33">
        <f>D56/D64*100</f>
        <v>14.906832298136646</v>
      </c>
      <c r="E40" s="33">
        <f t="shared" ref="E40:F40" si="72">E56/E64*100</f>
        <v>17.536813922356089</v>
      </c>
      <c r="F40" s="33">
        <f t="shared" si="72"/>
        <v>16.758379189594798</v>
      </c>
      <c r="G40" s="33">
        <f>G56/G64*100</f>
        <v>18.181818181818183</v>
      </c>
      <c r="H40" s="33">
        <f t="shared" ref="H40:I40" si="73">H56/H64*100</f>
        <v>16.853408029878619</v>
      </c>
      <c r="I40" s="33">
        <f t="shared" si="73"/>
        <v>17.397388059701495</v>
      </c>
      <c r="J40" s="33">
        <f>J56/J64*100</f>
        <v>19.108280254777071</v>
      </c>
      <c r="K40" s="33">
        <f t="shared" ref="K40:L40" si="74">K56/K64*100</f>
        <v>17.514124293785311</v>
      </c>
      <c r="L40" s="33">
        <f t="shared" si="74"/>
        <v>16.086737266767521</v>
      </c>
      <c r="M40" s="33">
        <f>M56/M64*100</f>
        <v>18.125</v>
      </c>
      <c r="N40" s="33">
        <f>N56/N64*100</f>
        <v>16.238917405506299</v>
      </c>
      <c r="O40" s="33">
        <f t="shared" ref="O40:Q40" si="75">O56/O64*100</f>
        <v>15.449735449735449</v>
      </c>
      <c r="P40" s="33">
        <f t="shared" si="75"/>
        <v>16.666666666666664</v>
      </c>
      <c r="Q40" s="33">
        <f t="shared" si="75"/>
        <v>15.535889872173058</v>
      </c>
      <c r="R40" s="33">
        <f t="shared" ref="R40:T40" si="76">R56/R64*100</f>
        <v>17.274167987321711</v>
      </c>
      <c r="S40" s="33">
        <f t="shared" si="76"/>
        <v>18.181818181818183</v>
      </c>
      <c r="T40" s="33">
        <f t="shared" si="76"/>
        <v>17.337917485265226</v>
      </c>
      <c r="U40" s="33">
        <f t="shared" ref="U40:W40" si="77">U56/U64*100</f>
        <v>16.240875912408757</v>
      </c>
      <c r="V40" s="33">
        <f t="shared" si="77"/>
        <v>17.054263565891471</v>
      </c>
      <c r="W40" s="33">
        <f t="shared" si="77"/>
        <v>16.300056401579244</v>
      </c>
      <c r="X40" s="33">
        <f t="shared" ref="X40:Z40" si="78">X56/X64*100</f>
        <v>15.707620528771384</v>
      </c>
      <c r="Y40" s="33">
        <f t="shared" si="78"/>
        <v>15.432098765432098</v>
      </c>
      <c r="Z40" s="33">
        <f t="shared" si="78"/>
        <v>15.686274509803921</v>
      </c>
      <c r="AA40" s="33">
        <f t="shared" ref="AA40:AC40" si="79">AA56/AA64*100</f>
        <v>16.429298067141403</v>
      </c>
      <c r="AB40" s="33">
        <f t="shared" si="79"/>
        <v>14.5985401459854</v>
      </c>
      <c r="AC40" s="33">
        <f t="shared" si="79"/>
        <v>16.310033285782215</v>
      </c>
      <c r="AD40" s="33">
        <f t="shared" ref="AD40:AF40" si="80">AD56/AD64*100</f>
        <v>13.27037773359841</v>
      </c>
      <c r="AE40" s="33">
        <f t="shared" si="80"/>
        <v>11.920529801324504</v>
      </c>
      <c r="AF40" s="33">
        <f t="shared" si="80"/>
        <v>13.176144244105409</v>
      </c>
      <c r="AG40" s="33">
        <f t="shared" ref="AG40:AI40" si="81">AG56/AG64*100</f>
        <v>12.85236502627807</v>
      </c>
      <c r="AH40" s="33">
        <f t="shared" si="81"/>
        <v>15.730337078651685</v>
      </c>
      <c r="AI40" s="33">
        <f t="shared" si="81"/>
        <v>13.0779392338177</v>
      </c>
    </row>
    <row r="41" spans="2:35" x14ac:dyDescent="0.25">
      <c r="B41" s="2" t="s">
        <v>91</v>
      </c>
      <c r="C41" s="33">
        <f t="shared" ref="C41:N41" si="82">C57/C64*100</f>
        <v>19.08653846153846</v>
      </c>
      <c r="D41" s="33">
        <f t="shared" si="82"/>
        <v>27.329192546583851</v>
      </c>
      <c r="E41" s="33">
        <f t="shared" si="82"/>
        <v>19.678714859437751</v>
      </c>
      <c r="F41" s="33">
        <f t="shared" si="82"/>
        <v>19.859929964982491</v>
      </c>
      <c r="G41" s="33">
        <f t="shared" si="82"/>
        <v>14.685314685314685</v>
      </c>
      <c r="H41" s="33">
        <f t="shared" si="82"/>
        <v>19.514472455648928</v>
      </c>
      <c r="I41" s="33">
        <f t="shared" si="82"/>
        <v>18.050373134328357</v>
      </c>
      <c r="J41" s="33">
        <f t="shared" si="82"/>
        <v>18.471337579617835</v>
      </c>
      <c r="K41" s="33">
        <f t="shared" si="82"/>
        <v>18.07909604519774</v>
      </c>
      <c r="L41" s="33">
        <f t="shared" si="82"/>
        <v>21.129601613716591</v>
      </c>
      <c r="M41" s="33">
        <f t="shared" si="82"/>
        <v>24.375</v>
      </c>
      <c r="N41" s="33">
        <f t="shared" si="82"/>
        <v>21.371908539430702</v>
      </c>
      <c r="O41" s="33">
        <f t="shared" ref="O41:Q41" si="83">O57/O64*100</f>
        <v>21.587301587301589</v>
      </c>
      <c r="P41" s="33">
        <f t="shared" si="83"/>
        <v>18.75</v>
      </c>
      <c r="Q41" s="33">
        <f t="shared" si="83"/>
        <v>21.386430678466077</v>
      </c>
      <c r="R41" s="33">
        <f t="shared" ref="R41:T41" si="84">R57/R64*100</f>
        <v>21.288959323824617</v>
      </c>
      <c r="S41" s="33">
        <f t="shared" si="84"/>
        <v>16.083916083916083</v>
      </c>
      <c r="T41" s="33">
        <f t="shared" si="84"/>
        <v>20.923379174852652</v>
      </c>
      <c r="U41" s="33">
        <f t="shared" ref="U41:W41" si="85">U57/U64*100</f>
        <v>24.635036496350367</v>
      </c>
      <c r="V41" s="33">
        <f t="shared" si="85"/>
        <v>17.054263565891471</v>
      </c>
      <c r="W41" s="33">
        <f t="shared" si="85"/>
        <v>24.083474337281444</v>
      </c>
      <c r="X41" s="33">
        <f t="shared" ref="X41:Z41" si="86">X57/X64*100</f>
        <v>21.772939346811821</v>
      </c>
      <c r="Y41" s="33">
        <f t="shared" si="86"/>
        <v>20.987654320987652</v>
      </c>
      <c r="Z41" s="33">
        <f t="shared" si="86"/>
        <v>21.712099473935918</v>
      </c>
      <c r="AA41" s="33">
        <f t="shared" ref="AA41:AC41" si="87">AA57/AA64*100</f>
        <v>20.803662258392674</v>
      </c>
      <c r="AB41" s="33">
        <f t="shared" si="87"/>
        <v>20.437956204379564</v>
      </c>
      <c r="AC41" s="33">
        <f t="shared" si="87"/>
        <v>20.779838326200668</v>
      </c>
      <c r="AD41" s="33">
        <f t="shared" ref="AD41:AF41" si="88">AD57/AD64*100</f>
        <v>23.508946322067594</v>
      </c>
      <c r="AE41" s="33">
        <f t="shared" si="88"/>
        <v>13.90728476821192</v>
      </c>
      <c r="AF41" s="33">
        <f t="shared" si="88"/>
        <v>22.838650023116042</v>
      </c>
      <c r="AG41" s="33">
        <f t="shared" ref="AG41:AI41" si="89">AG57/AG64*100</f>
        <v>24.128045867176301</v>
      </c>
      <c r="AH41" s="33">
        <f t="shared" si="89"/>
        <v>15.730337078651685</v>
      </c>
      <c r="AI41" s="33">
        <f t="shared" si="89"/>
        <v>23.469837076177896</v>
      </c>
    </row>
    <row r="42" spans="2:35" x14ac:dyDescent="0.25">
      <c r="B42" s="2" t="s">
        <v>92</v>
      </c>
      <c r="C42" s="33">
        <f t="shared" ref="C42:M42" si="90">C58/C64*100</f>
        <v>11.25</v>
      </c>
      <c r="D42" s="33">
        <f t="shared" si="90"/>
        <v>9.316770186335404</v>
      </c>
      <c r="E42" s="33">
        <f t="shared" si="90"/>
        <v>11.111111111111111</v>
      </c>
      <c r="F42" s="33">
        <f t="shared" si="90"/>
        <v>10.855427713856928</v>
      </c>
      <c r="G42" s="33">
        <f t="shared" si="90"/>
        <v>7.6923076923076925</v>
      </c>
      <c r="H42" s="33">
        <f t="shared" si="90"/>
        <v>10.644257703081232</v>
      </c>
      <c r="I42" s="33">
        <f t="shared" si="90"/>
        <v>10.21455223880597</v>
      </c>
      <c r="J42" s="33">
        <f t="shared" si="90"/>
        <v>10.191082802547772</v>
      </c>
      <c r="K42" s="33">
        <f t="shared" si="90"/>
        <v>10.212950890916993</v>
      </c>
      <c r="L42" s="33">
        <f t="shared" si="90"/>
        <v>10.892586989409985</v>
      </c>
      <c r="M42" s="33">
        <f t="shared" si="90"/>
        <v>7.5</v>
      </c>
      <c r="N42" s="33">
        <f>N58/N64*100</f>
        <v>10.639290713952402</v>
      </c>
      <c r="O42" s="33">
        <f t="shared" ref="O42:Q42" si="91">O58/O64*100</f>
        <v>9.1005291005291014</v>
      </c>
      <c r="P42" s="33">
        <f t="shared" si="91"/>
        <v>6.25</v>
      </c>
      <c r="Q42" s="33">
        <f t="shared" si="91"/>
        <v>8.8987217305801369</v>
      </c>
      <c r="R42" s="33">
        <f t="shared" ref="R42:T42" si="92">R58/R64*100</f>
        <v>8.9804543053354458</v>
      </c>
      <c r="S42" s="33">
        <f t="shared" si="92"/>
        <v>7.6923076923076925</v>
      </c>
      <c r="T42" s="33">
        <f t="shared" si="92"/>
        <v>8.8899803536345772</v>
      </c>
      <c r="U42" s="33">
        <f t="shared" ref="U42:W42" si="93">U58/U64*100</f>
        <v>7.3600973236009724</v>
      </c>
      <c r="V42" s="33">
        <f t="shared" si="93"/>
        <v>9.3023255813953494</v>
      </c>
      <c r="W42" s="33">
        <f t="shared" si="93"/>
        <v>7.5014100394811063</v>
      </c>
      <c r="X42" s="33">
        <f t="shared" ref="X42:Z42" si="94">X58/X64*100</f>
        <v>8.1389320891653707</v>
      </c>
      <c r="Y42" s="33">
        <f t="shared" si="94"/>
        <v>6.1728395061728394</v>
      </c>
      <c r="Z42" s="33">
        <f t="shared" si="94"/>
        <v>7.9866092778574842</v>
      </c>
      <c r="AA42" s="33">
        <f t="shared" ref="AA42:AC42" si="95">AA58/AA64*100</f>
        <v>8.9013224821973544</v>
      </c>
      <c r="AB42" s="33">
        <f t="shared" si="95"/>
        <v>3.6496350364963499</v>
      </c>
      <c r="AC42" s="33">
        <f t="shared" si="95"/>
        <v>8.5592011412268185</v>
      </c>
      <c r="AD42" s="33">
        <f t="shared" ref="AD42:AF42" si="96">AD58/AD64*100</f>
        <v>5.964214711729622</v>
      </c>
      <c r="AE42" s="33">
        <f t="shared" si="96"/>
        <v>9.2715231788079464</v>
      </c>
      <c r="AF42" s="33">
        <f t="shared" si="96"/>
        <v>6.1950993989828946</v>
      </c>
      <c r="AG42" s="33">
        <f t="shared" ref="AG42:AI42" si="97">AG58/AG64*100</f>
        <v>5.1122790253225032</v>
      </c>
      <c r="AH42" s="33">
        <f t="shared" si="97"/>
        <v>5.0561797752808983</v>
      </c>
      <c r="AI42" s="33">
        <f t="shared" si="97"/>
        <v>5.107881990312638</v>
      </c>
    </row>
    <row r="43" spans="2:35" x14ac:dyDescent="0.25">
      <c r="B43" s="2" t="s">
        <v>93</v>
      </c>
      <c r="C43" s="33">
        <f t="shared" ref="C43:N43" si="98">C59/C64*100</f>
        <v>7.3557692307692308</v>
      </c>
      <c r="D43" s="33">
        <f t="shared" si="98"/>
        <v>6.2111801242236027</v>
      </c>
      <c r="E43" s="33">
        <f t="shared" si="98"/>
        <v>7.2735385988398029</v>
      </c>
      <c r="F43" s="33">
        <f t="shared" si="98"/>
        <v>7.0535267633816918</v>
      </c>
      <c r="G43" s="33">
        <f t="shared" si="98"/>
        <v>4.1958041958041958</v>
      </c>
      <c r="H43" s="33">
        <f t="shared" si="98"/>
        <v>6.8627450980392162</v>
      </c>
      <c r="I43" s="33">
        <f t="shared" si="98"/>
        <v>9.281716417910447</v>
      </c>
      <c r="J43" s="33">
        <f t="shared" si="98"/>
        <v>1.910828025477707</v>
      </c>
      <c r="K43" s="33">
        <f t="shared" si="98"/>
        <v>8.7787918296392871</v>
      </c>
      <c r="L43" s="33">
        <f t="shared" si="98"/>
        <v>8.472012102874432</v>
      </c>
      <c r="M43" s="33">
        <f t="shared" si="98"/>
        <v>6.8750000000000009</v>
      </c>
      <c r="N43" s="33">
        <f t="shared" si="98"/>
        <v>8.3527764815678953</v>
      </c>
      <c r="O43" s="33">
        <f t="shared" ref="O43:Q43" si="99">O59/O64*100</f>
        <v>8.6772486772486772</v>
      </c>
      <c r="P43" s="33">
        <f t="shared" si="99"/>
        <v>6.25</v>
      </c>
      <c r="Q43" s="33">
        <f t="shared" si="99"/>
        <v>8.5054080629301865</v>
      </c>
      <c r="R43" s="33">
        <f t="shared" ref="R43:T43" si="100">R59/R64*100</f>
        <v>9.1389329107237174</v>
      </c>
      <c r="S43" s="33">
        <f t="shared" si="100"/>
        <v>9.0909090909090917</v>
      </c>
      <c r="T43" s="33">
        <f t="shared" si="100"/>
        <v>9.1355599214145382</v>
      </c>
      <c r="U43" s="33">
        <f t="shared" ref="U43:W43" si="101">U59/U64*100</f>
        <v>8.0291970802919703</v>
      </c>
      <c r="V43" s="33">
        <f t="shared" si="101"/>
        <v>10.077519379844961</v>
      </c>
      <c r="W43" s="33">
        <f t="shared" si="101"/>
        <v>8.178228990411732</v>
      </c>
      <c r="X43" s="33">
        <f t="shared" ref="X43:Z43" si="102">X59/X64*100</f>
        <v>7.8278900984966304</v>
      </c>
      <c r="Y43" s="33">
        <f t="shared" si="102"/>
        <v>8.0246913580246915</v>
      </c>
      <c r="Z43" s="33">
        <f t="shared" si="102"/>
        <v>7.8431372549019605</v>
      </c>
      <c r="AA43" s="33">
        <f t="shared" ref="AA43:AC43" si="103">AA59/AA64*100</f>
        <v>8.6469989827060019</v>
      </c>
      <c r="AB43" s="33">
        <f t="shared" si="103"/>
        <v>6.5693430656934311</v>
      </c>
      <c r="AC43" s="33">
        <f t="shared" si="103"/>
        <v>8.5116500237755588</v>
      </c>
      <c r="AD43" s="33">
        <f t="shared" ref="AD43:AF43" si="104">AD59/AD64*100</f>
        <v>12.42544731610338</v>
      </c>
      <c r="AE43" s="33">
        <f t="shared" si="104"/>
        <v>11.258278145695364</v>
      </c>
      <c r="AF43" s="33">
        <f t="shared" si="104"/>
        <v>12.343966712898752</v>
      </c>
      <c r="AG43" s="33">
        <f t="shared" ref="AG43:AI43" si="105">AG59/AG64*100</f>
        <v>12.804586717630196</v>
      </c>
      <c r="AH43" s="33">
        <f t="shared" si="105"/>
        <v>11.797752808988763</v>
      </c>
      <c r="AI43" s="33">
        <f t="shared" si="105"/>
        <v>12.725671510347864</v>
      </c>
    </row>
    <row r="44" spans="2:35" x14ac:dyDescent="0.25">
      <c r="B44" s="2" t="s">
        <v>94</v>
      </c>
      <c r="C44" s="33">
        <f t="shared" ref="C44:N44" si="106">C60/C64*100</f>
        <v>4.5673076923076916</v>
      </c>
      <c r="D44" s="33">
        <f t="shared" si="106"/>
        <v>1.2422360248447204</v>
      </c>
      <c r="E44" s="33">
        <f t="shared" si="106"/>
        <v>4.3284248103525211</v>
      </c>
      <c r="F44" s="33">
        <f t="shared" si="106"/>
        <v>4.9024512256128059</v>
      </c>
      <c r="G44" s="33">
        <f t="shared" si="106"/>
        <v>0.69930069930069927</v>
      </c>
      <c r="H44" s="33">
        <f t="shared" si="106"/>
        <v>4.6218487394957988</v>
      </c>
      <c r="I44" s="33">
        <f t="shared" si="106"/>
        <v>6.2033582089552235</v>
      </c>
      <c r="J44" s="33">
        <f t="shared" si="106"/>
        <v>1.2738853503184715</v>
      </c>
      <c r="K44" s="33">
        <f t="shared" si="106"/>
        <v>5.8670143415906129</v>
      </c>
      <c r="L44" s="33">
        <f t="shared" si="106"/>
        <v>6.9591527987897122</v>
      </c>
      <c r="M44" s="33">
        <f t="shared" si="106"/>
        <v>1.25</v>
      </c>
      <c r="N44" s="33">
        <f t="shared" si="106"/>
        <v>6.5328978068128789</v>
      </c>
      <c r="O44" s="33">
        <f t="shared" ref="O44:Q44" si="107">O60/O64*100</f>
        <v>6.1904761904761907</v>
      </c>
      <c r="P44" s="33">
        <f t="shared" si="107"/>
        <v>0.69444444444444442</v>
      </c>
      <c r="Q44" s="33">
        <f t="shared" si="107"/>
        <v>5.8013765978367751</v>
      </c>
      <c r="R44" s="33">
        <f t="shared" ref="R44:T44" si="108">R60/R64*100</f>
        <v>5.8108821975699954</v>
      </c>
      <c r="S44" s="33">
        <f t="shared" si="108"/>
        <v>2.0979020979020979</v>
      </c>
      <c r="T44" s="33">
        <f t="shared" si="108"/>
        <v>5.5500982318271124</v>
      </c>
      <c r="U44" s="33">
        <f t="shared" ref="U44:W44" si="109">U60/U64*100</f>
        <v>6.447688564476886</v>
      </c>
      <c r="V44" s="33">
        <f t="shared" si="109"/>
        <v>0.77519379844961245</v>
      </c>
      <c r="W44" s="33">
        <f t="shared" si="109"/>
        <v>6.0349689791314161</v>
      </c>
      <c r="X44" s="33">
        <f t="shared" ref="X44:Z44" si="110">X60/X64*100</f>
        <v>6.6355624675997928</v>
      </c>
      <c r="Y44" s="33">
        <f t="shared" si="110"/>
        <v>3.7037037037037033</v>
      </c>
      <c r="Z44" s="33">
        <f t="shared" si="110"/>
        <v>6.4084170253467239</v>
      </c>
      <c r="AA44" s="33">
        <f t="shared" ref="AA44:AC44" si="111">AA60/AA64*100</f>
        <v>7.2736520854526958</v>
      </c>
      <c r="AB44" s="33">
        <f t="shared" si="111"/>
        <v>2.1897810218978102</v>
      </c>
      <c r="AC44" s="33">
        <f t="shared" si="111"/>
        <v>6.9424631478839745</v>
      </c>
      <c r="AD44" s="33">
        <f t="shared" ref="AD44:AF44" si="112">AD60/AD64*100</f>
        <v>7.6043737574552681</v>
      </c>
      <c r="AE44" s="33">
        <f t="shared" si="112"/>
        <v>0.66225165562913912</v>
      </c>
      <c r="AF44" s="33">
        <f t="shared" si="112"/>
        <v>7.1197411003236244</v>
      </c>
      <c r="AG44" s="33">
        <f t="shared" ref="AG44:AI44" si="113">AG60/AG64*100</f>
        <v>9.0778786430960352</v>
      </c>
      <c r="AH44" s="33">
        <f t="shared" si="113"/>
        <v>2.8089887640449436</v>
      </c>
      <c r="AI44" s="33">
        <f t="shared" si="113"/>
        <v>8.5865257595772793</v>
      </c>
    </row>
    <row r="45" spans="2:35" x14ac:dyDescent="0.25">
      <c r="B45" s="2" t="s">
        <v>95</v>
      </c>
      <c r="C45" s="33">
        <f t="shared" ref="C45:N45" si="114">C61/C64*100</f>
        <v>6.7307692307692308</v>
      </c>
      <c r="D45" s="33">
        <f t="shared" si="114"/>
        <v>4.3478260869565215</v>
      </c>
      <c r="E45" s="33">
        <f t="shared" si="114"/>
        <v>6.5595716198125835</v>
      </c>
      <c r="F45" s="33">
        <f t="shared" si="114"/>
        <v>6.103051525762881</v>
      </c>
      <c r="G45" s="33">
        <f t="shared" si="114"/>
        <v>9.79020979020979</v>
      </c>
      <c r="H45" s="33">
        <f t="shared" si="114"/>
        <v>6.3492063492063489</v>
      </c>
      <c r="I45" s="33">
        <f t="shared" si="114"/>
        <v>6.3899253731343277</v>
      </c>
      <c r="J45" s="33">
        <f t="shared" si="114"/>
        <v>9.5541401273885356</v>
      </c>
      <c r="K45" s="33">
        <f t="shared" si="114"/>
        <v>6.605823554976098</v>
      </c>
      <c r="L45" s="33">
        <f t="shared" si="114"/>
        <v>6.6565809379727687</v>
      </c>
      <c r="M45" s="33">
        <f t="shared" si="114"/>
        <v>6.8750000000000009</v>
      </c>
      <c r="N45" s="33">
        <f t="shared" si="114"/>
        <v>6.6728884741017263</v>
      </c>
      <c r="O45" s="33">
        <f t="shared" ref="O45:Q45" si="115">O61/O64*100</f>
        <v>8.0423280423280428</v>
      </c>
      <c r="P45" s="33">
        <f t="shared" si="115"/>
        <v>15.277777777777779</v>
      </c>
      <c r="Q45" s="33">
        <f t="shared" si="115"/>
        <v>8.5545722713864301</v>
      </c>
      <c r="R45" s="33">
        <f t="shared" ref="R45:T45" si="116">R61/R64*100</f>
        <v>6.286318013734812</v>
      </c>
      <c r="S45" s="33">
        <f t="shared" si="116"/>
        <v>16.083916083916083</v>
      </c>
      <c r="T45" s="33">
        <f t="shared" si="116"/>
        <v>6.9744597249508837</v>
      </c>
      <c r="U45" s="33">
        <f t="shared" ref="U45:W45" si="117">U61/U64*100</f>
        <v>5.4744525547445262</v>
      </c>
      <c r="V45" s="33">
        <f t="shared" si="117"/>
        <v>13.953488372093023</v>
      </c>
      <c r="W45" s="33">
        <f t="shared" si="117"/>
        <v>6.091370558375635</v>
      </c>
      <c r="X45" s="33">
        <f t="shared" ref="X45:Z45" si="118">X61/X64*100</f>
        <v>4.8729911871435982</v>
      </c>
      <c r="Y45" s="33">
        <f t="shared" si="118"/>
        <v>9.8765432098765427</v>
      </c>
      <c r="Z45" s="33">
        <f t="shared" si="118"/>
        <v>5.2606408417025348</v>
      </c>
      <c r="AA45" s="33">
        <f t="shared" ref="AA45:AC45" si="119">AA61/AA64*100</f>
        <v>4.832146490335707</v>
      </c>
      <c r="AB45" s="33">
        <f t="shared" si="119"/>
        <v>11.678832116788321</v>
      </c>
      <c r="AC45" s="33">
        <f t="shared" si="119"/>
        <v>5.2781740370898715</v>
      </c>
      <c r="AD45" s="33">
        <f t="shared" ref="AD45:AF45" si="120">AD61/AD64*100</f>
        <v>5.6660039761431413</v>
      </c>
      <c r="AE45" s="33">
        <f t="shared" si="120"/>
        <v>13.245033112582782</v>
      </c>
      <c r="AF45" s="33">
        <f t="shared" si="120"/>
        <v>6.1950993989828946</v>
      </c>
      <c r="AG45" s="33">
        <f t="shared" ref="AG45:AI45" si="121">AG61/AG64*100</f>
        <v>5.1122790253225032</v>
      </c>
      <c r="AH45" s="33">
        <f t="shared" si="121"/>
        <v>12.921348314606742</v>
      </c>
      <c r="AI45" s="33">
        <f t="shared" si="121"/>
        <v>5.7243505063848525</v>
      </c>
    </row>
    <row r="46" spans="2:35" x14ac:dyDescent="0.25">
      <c r="B46" s="2" t="s">
        <v>96</v>
      </c>
      <c r="C46" s="33">
        <f t="shared" ref="C46:N46" si="122">C62/C64*100</f>
        <v>7.0673076923076925</v>
      </c>
      <c r="D46" s="33">
        <f t="shared" si="122"/>
        <v>4.9689440993788816</v>
      </c>
      <c r="E46" s="33">
        <f t="shared" si="122"/>
        <v>6.9165551093261932</v>
      </c>
      <c r="F46" s="33">
        <f t="shared" si="122"/>
        <v>8.8544272136068045</v>
      </c>
      <c r="G46" s="33">
        <f t="shared" si="122"/>
        <v>6.2937062937062942</v>
      </c>
      <c r="H46" s="33">
        <f t="shared" si="122"/>
        <v>8.6834733893557416</v>
      </c>
      <c r="I46" s="33">
        <f t="shared" si="122"/>
        <v>8.628731343283583</v>
      </c>
      <c r="J46" s="33">
        <f t="shared" si="122"/>
        <v>6.369426751592357</v>
      </c>
      <c r="K46" s="33">
        <f t="shared" si="122"/>
        <v>8.4745762711864394</v>
      </c>
      <c r="L46" s="33">
        <f t="shared" si="122"/>
        <v>7.2617246596066565</v>
      </c>
      <c r="M46" s="33">
        <f t="shared" si="122"/>
        <v>3.75</v>
      </c>
      <c r="N46" s="33">
        <f t="shared" si="122"/>
        <v>6.9995333644423701</v>
      </c>
      <c r="O46" s="33">
        <f t="shared" ref="O46:Q46" si="123">O62/O64*100</f>
        <v>7.6719576719576716</v>
      </c>
      <c r="P46" s="33">
        <f t="shared" si="123"/>
        <v>6.9444444444444446</v>
      </c>
      <c r="Q46" s="33">
        <f t="shared" si="123"/>
        <v>7.6204523107177975</v>
      </c>
      <c r="R46" s="33">
        <f t="shared" ref="R46:T46" si="124">R62/R64*100</f>
        <v>8.9804543053354458</v>
      </c>
      <c r="S46" s="33">
        <f t="shared" si="124"/>
        <v>4.895104895104895</v>
      </c>
      <c r="T46" s="33">
        <f t="shared" si="124"/>
        <v>8.6935166994106101</v>
      </c>
      <c r="U46" s="33">
        <f t="shared" ref="U46:W46" si="125">U62/U64*100</f>
        <v>7.1167883211678831</v>
      </c>
      <c r="V46" s="33">
        <f t="shared" si="125"/>
        <v>8.5271317829457356</v>
      </c>
      <c r="W46" s="33">
        <f t="shared" si="125"/>
        <v>7.2194021432600124</v>
      </c>
      <c r="X46" s="33">
        <f t="shared" ref="X46:Z46" si="126">X62/X64*100</f>
        <v>12.078797304302748</v>
      </c>
      <c r="Y46" s="33">
        <f t="shared" si="126"/>
        <v>9.2592592592592595</v>
      </c>
      <c r="Z46" s="33">
        <f t="shared" si="126"/>
        <v>11.860353897656625</v>
      </c>
      <c r="AA46" s="33">
        <f t="shared" ref="AA46:AC46" si="127">AA62/AA64*100</f>
        <v>9.5625635808748743</v>
      </c>
      <c r="AB46" s="33">
        <f t="shared" si="127"/>
        <v>11.678832116788321</v>
      </c>
      <c r="AC46" s="33">
        <f t="shared" si="127"/>
        <v>9.7004279600570626</v>
      </c>
      <c r="AD46" s="33">
        <f t="shared" ref="AD46:AF46" si="128">AD62/AD64*100</f>
        <v>7.6043737574552681</v>
      </c>
      <c r="AE46" s="33">
        <f t="shared" si="128"/>
        <v>8.6092715231788084</v>
      </c>
      <c r="AF46" s="33">
        <f t="shared" si="128"/>
        <v>7.6745261211280624</v>
      </c>
      <c r="AG46" s="33">
        <f t="shared" ref="AG46:AI46" si="129">AG62/AG64*100</f>
        <v>6.593406593406594</v>
      </c>
      <c r="AH46" s="33">
        <f t="shared" si="129"/>
        <v>3.9325842696629212</v>
      </c>
      <c r="AI46" s="33">
        <f t="shared" si="129"/>
        <v>6.3848524878907966</v>
      </c>
    </row>
    <row r="47" spans="2:35" x14ac:dyDescent="0.25">
      <c r="B47" s="2" t="s">
        <v>97</v>
      </c>
      <c r="C47" s="33">
        <f t="shared" ref="C47:N47" si="130">C63/C64*100</f>
        <v>1.2019230769230771</v>
      </c>
      <c r="D47" s="33">
        <f t="shared" si="130"/>
        <v>0</v>
      </c>
      <c r="E47" s="33">
        <f t="shared" si="130"/>
        <v>1.1155734047300312</v>
      </c>
      <c r="F47" s="33">
        <f t="shared" si="130"/>
        <v>1.4007003501750876</v>
      </c>
      <c r="G47" s="33">
        <f t="shared" si="130"/>
        <v>1.3986013986013985</v>
      </c>
      <c r="H47" s="33">
        <f t="shared" si="130"/>
        <v>1.400560224089636</v>
      </c>
      <c r="I47" s="33">
        <f t="shared" si="130"/>
        <v>2.9384328358208958</v>
      </c>
      <c r="J47" s="33">
        <f t="shared" si="130"/>
        <v>3.1847133757961785</v>
      </c>
      <c r="K47" s="33">
        <f t="shared" si="130"/>
        <v>2.9552368535419382</v>
      </c>
      <c r="L47" s="33">
        <f t="shared" si="130"/>
        <v>1.5128593040847202</v>
      </c>
      <c r="M47" s="33">
        <f t="shared" si="130"/>
        <v>1.875</v>
      </c>
      <c r="N47" s="33">
        <f t="shared" si="130"/>
        <v>1.5398973401773215</v>
      </c>
      <c r="O47" s="33">
        <f t="shared" ref="O47:Q47" si="131">O63/O64*100</f>
        <v>1.746031746031746</v>
      </c>
      <c r="P47" s="33">
        <f t="shared" si="131"/>
        <v>0.69444444444444442</v>
      </c>
      <c r="Q47" s="33">
        <f t="shared" si="131"/>
        <v>1.671583087512291</v>
      </c>
      <c r="R47" s="33">
        <f t="shared" ref="R47:T47" si="132">R63/R64*100</f>
        <v>1.6376122556788169</v>
      </c>
      <c r="S47" s="33">
        <f t="shared" si="132"/>
        <v>0</v>
      </c>
      <c r="T47" s="33">
        <f t="shared" si="132"/>
        <v>1.5225933202357564</v>
      </c>
      <c r="U47" s="33">
        <f t="shared" ref="U47:W47" si="133">U63/U64*100</f>
        <v>1.3381995133819951</v>
      </c>
      <c r="V47" s="33">
        <f t="shared" si="133"/>
        <v>0.77519379844961245</v>
      </c>
      <c r="W47" s="33">
        <f t="shared" si="133"/>
        <v>1.2972363226170334</v>
      </c>
      <c r="X47" s="33">
        <f t="shared" ref="X47:Z47" si="134">X63/X64*100</f>
        <v>1.6070502851218249</v>
      </c>
      <c r="Y47" s="33">
        <f t="shared" si="134"/>
        <v>1.2345679012345678</v>
      </c>
      <c r="Z47" s="33">
        <f t="shared" si="134"/>
        <v>1.5781922525107603</v>
      </c>
      <c r="AA47" s="33">
        <f t="shared" ref="AA47:AC47" si="135">AA63/AA64*100</f>
        <v>1.9328585961342828</v>
      </c>
      <c r="AB47" s="33">
        <f t="shared" si="135"/>
        <v>0.72992700729927007</v>
      </c>
      <c r="AC47" s="33">
        <f t="shared" si="135"/>
        <v>1.8544935805991443</v>
      </c>
      <c r="AD47" s="33">
        <f t="shared" ref="AD47:AF47" si="136">AD63/AD64*100</f>
        <v>2.6838966202783299</v>
      </c>
      <c r="AE47" s="33">
        <f t="shared" si="136"/>
        <v>1.9867549668874174</v>
      </c>
      <c r="AF47" s="33">
        <f t="shared" si="136"/>
        <v>2.6352288488210815</v>
      </c>
      <c r="AG47" s="33">
        <f t="shared" ref="AG47:AI47" si="137">AG63/AG64*100</f>
        <v>4.3478260869565215</v>
      </c>
      <c r="AH47" s="33">
        <f t="shared" si="137"/>
        <v>1.1235955056179776</v>
      </c>
      <c r="AI47" s="33">
        <f t="shared" si="137"/>
        <v>4.0951122853368567</v>
      </c>
    </row>
    <row r="48" spans="2:35" x14ac:dyDescent="0.25">
      <c r="B48" s="14" t="s">
        <v>98</v>
      </c>
      <c r="C48" s="88">
        <f t="shared" ref="C48:N48" si="138">SUM(C39:C47)</f>
        <v>99.999999999999986</v>
      </c>
      <c r="D48" s="88">
        <f t="shared" si="138"/>
        <v>100</v>
      </c>
      <c r="E48" s="88">
        <f t="shared" si="138"/>
        <v>100</v>
      </c>
      <c r="F48" s="88">
        <f t="shared" si="138"/>
        <v>100.00000000000001</v>
      </c>
      <c r="G48" s="88">
        <f t="shared" si="138"/>
        <v>99.999999999999986</v>
      </c>
      <c r="H48" s="88">
        <f t="shared" si="138"/>
        <v>100</v>
      </c>
      <c r="I48" s="88">
        <f t="shared" si="138"/>
        <v>100</v>
      </c>
      <c r="J48" s="88">
        <f t="shared" si="138"/>
        <v>100</v>
      </c>
      <c r="K48" s="88">
        <f t="shared" si="138"/>
        <v>100.00000000000001</v>
      </c>
      <c r="L48" s="88">
        <f t="shared" si="138"/>
        <v>99.999999999999986</v>
      </c>
      <c r="M48" s="88">
        <f t="shared" si="138"/>
        <v>100</v>
      </c>
      <c r="N48" s="88">
        <f t="shared" si="138"/>
        <v>100</v>
      </c>
      <c r="O48" s="88">
        <f t="shared" ref="O48:Q48" si="139">SUM(O39:O47)</f>
        <v>100</v>
      </c>
      <c r="P48" s="88">
        <f t="shared" si="139"/>
        <v>100</v>
      </c>
      <c r="Q48" s="88">
        <f t="shared" si="139"/>
        <v>100</v>
      </c>
      <c r="R48" s="88">
        <f t="shared" ref="R48:T48" si="140">SUM(R39:R47)</f>
        <v>100</v>
      </c>
      <c r="S48" s="88">
        <f t="shared" si="140"/>
        <v>99.999999999999986</v>
      </c>
      <c r="T48" s="88">
        <f t="shared" si="140"/>
        <v>100</v>
      </c>
      <c r="U48" s="88">
        <f t="shared" ref="U48:W48" si="141">SUM(U39:U47)</f>
        <v>100</v>
      </c>
      <c r="V48" s="88">
        <f t="shared" si="141"/>
        <v>99.999999999999972</v>
      </c>
      <c r="W48" s="88">
        <f t="shared" si="141"/>
        <v>100.00000000000001</v>
      </c>
      <c r="X48" s="88">
        <f t="shared" ref="X48:Z48" si="142">SUM(X39:X47)</f>
        <v>100</v>
      </c>
      <c r="Y48" s="88">
        <f t="shared" si="142"/>
        <v>100.00000000000001</v>
      </c>
      <c r="Z48" s="88">
        <f t="shared" si="142"/>
        <v>100</v>
      </c>
      <c r="AA48" s="88">
        <f t="shared" ref="AA48:AC48" si="143">SUM(AA39:AA47)</f>
        <v>100</v>
      </c>
      <c r="AB48" s="88">
        <f t="shared" si="143"/>
        <v>100</v>
      </c>
      <c r="AC48" s="88">
        <f t="shared" si="143"/>
        <v>99.999999999999986</v>
      </c>
      <c r="AD48" s="88">
        <f t="shared" ref="AD48:AF48" si="144">SUM(AD39:AD47)</f>
        <v>99.999999999999986</v>
      </c>
      <c r="AE48" s="88">
        <f t="shared" si="144"/>
        <v>99.999999999999986</v>
      </c>
      <c r="AF48" s="88">
        <f t="shared" si="144"/>
        <v>100</v>
      </c>
      <c r="AG48" s="88">
        <f t="shared" ref="AG48:AI48" si="145">SUM(AG39:AG47)</f>
        <v>100</v>
      </c>
      <c r="AH48" s="88">
        <f t="shared" si="145"/>
        <v>100</v>
      </c>
      <c r="AI48" s="88">
        <f t="shared" si="145"/>
        <v>100</v>
      </c>
    </row>
    <row r="49" spans="2:35" x14ac:dyDescent="0.25">
      <c r="B49" s="2" t="s">
        <v>99</v>
      </c>
      <c r="C49" s="34">
        <f>C64</f>
        <v>2080</v>
      </c>
      <c r="D49" s="33">
        <f t="shared" ref="D49:N49" si="146">D64</f>
        <v>161</v>
      </c>
      <c r="E49" s="34">
        <f t="shared" si="146"/>
        <v>2241</v>
      </c>
      <c r="F49" s="34">
        <f t="shared" si="146"/>
        <v>1999</v>
      </c>
      <c r="G49" s="33">
        <f t="shared" si="146"/>
        <v>143</v>
      </c>
      <c r="H49" s="34">
        <f t="shared" si="146"/>
        <v>2142</v>
      </c>
      <c r="I49" s="34">
        <f t="shared" si="146"/>
        <v>2144</v>
      </c>
      <c r="J49" s="33">
        <f t="shared" si="146"/>
        <v>157</v>
      </c>
      <c r="K49" s="34">
        <f t="shared" si="146"/>
        <v>2301</v>
      </c>
      <c r="L49" s="34">
        <f t="shared" si="146"/>
        <v>1983</v>
      </c>
      <c r="M49" s="33">
        <f t="shared" si="146"/>
        <v>160</v>
      </c>
      <c r="N49" s="34">
        <f t="shared" si="146"/>
        <v>2143</v>
      </c>
      <c r="O49" s="34">
        <v>1890</v>
      </c>
      <c r="P49" s="34">
        <v>144</v>
      </c>
      <c r="Q49" s="34">
        <v>2034</v>
      </c>
      <c r="R49" s="34">
        <f t="shared" ref="R49:W49" si="147">R64</f>
        <v>1893</v>
      </c>
      <c r="S49" s="33">
        <f t="shared" si="147"/>
        <v>143</v>
      </c>
      <c r="T49" s="34">
        <f t="shared" si="147"/>
        <v>2036</v>
      </c>
      <c r="U49" s="34">
        <f t="shared" si="147"/>
        <v>1644</v>
      </c>
      <c r="V49" s="33">
        <f t="shared" si="147"/>
        <v>129</v>
      </c>
      <c r="W49" s="34">
        <f t="shared" si="147"/>
        <v>1773</v>
      </c>
      <c r="X49" s="34">
        <f t="shared" ref="X49:Z49" si="148">X64</f>
        <v>1929</v>
      </c>
      <c r="Y49" s="33">
        <f t="shared" si="148"/>
        <v>162</v>
      </c>
      <c r="Z49" s="34">
        <f t="shared" si="148"/>
        <v>2091</v>
      </c>
      <c r="AA49" s="34">
        <f t="shared" ref="AA49:AC49" si="149">AA64</f>
        <v>1966</v>
      </c>
      <c r="AB49" s="33">
        <f t="shared" si="149"/>
        <v>137</v>
      </c>
      <c r="AC49" s="34">
        <f t="shared" si="149"/>
        <v>2103</v>
      </c>
      <c r="AD49" s="34">
        <f t="shared" ref="AD49:AF49" si="150">AD64</f>
        <v>2012</v>
      </c>
      <c r="AE49" s="33">
        <f t="shared" si="150"/>
        <v>151</v>
      </c>
      <c r="AF49" s="34">
        <f t="shared" si="150"/>
        <v>2163</v>
      </c>
      <c r="AG49" s="34">
        <f t="shared" ref="AG49:AI49" si="151">AG64</f>
        <v>2093</v>
      </c>
      <c r="AH49" s="33">
        <f t="shared" si="151"/>
        <v>178</v>
      </c>
      <c r="AI49" s="34">
        <f t="shared" si="151"/>
        <v>2271</v>
      </c>
    </row>
    <row r="50" spans="2:35" x14ac:dyDescent="0.25">
      <c r="B50" s="22"/>
      <c r="C50" s="3"/>
      <c r="D50" s="3"/>
      <c r="E50" s="3"/>
      <c r="F50" s="3"/>
      <c r="G50" s="3"/>
      <c r="H50" s="3"/>
      <c r="I50" s="3"/>
      <c r="J50" s="3"/>
      <c r="K50" s="3"/>
      <c r="L50" s="3"/>
      <c r="M50" s="3"/>
      <c r="N50" s="3"/>
    </row>
    <row r="51" spans="2:35" x14ac:dyDescent="0.25">
      <c r="B51" s="65" t="s">
        <v>380</v>
      </c>
      <c r="C51" s="3"/>
      <c r="D51" s="3"/>
      <c r="E51" s="3"/>
      <c r="F51" s="3"/>
      <c r="G51" s="3"/>
      <c r="H51" s="3"/>
      <c r="I51" s="3"/>
      <c r="J51" s="3"/>
      <c r="K51" s="3"/>
      <c r="L51" s="3"/>
      <c r="M51" s="3"/>
      <c r="N51" s="3"/>
    </row>
    <row r="52" spans="2:35" x14ac:dyDescent="0.25">
      <c r="B52" s="11"/>
      <c r="C52" s="3"/>
      <c r="D52" s="3"/>
      <c r="E52" s="3"/>
      <c r="F52" s="3"/>
      <c r="G52" s="3"/>
      <c r="H52" s="3"/>
      <c r="I52" s="3"/>
      <c r="J52" s="3"/>
      <c r="K52" s="3"/>
      <c r="L52" s="3"/>
      <c r="M52" s="3"/>
      <c r="N52" s="3"/>
    </row>
    <row r="53" spans="2:35" x14ac:dyDescent="0.25">
      <c r="B53" s="11"/>
      <c r="C53" s="3"/>
      <c r="D53" s="3"/>
      <c r="E53" s="3"/>
      <c r="F53" s="3"/>
      <c r="G53" s="3"/>
      <c r="H53" s="3"/>
      <c r="I53" s="3"/>
      <c r="J53" s="3"/>
      <c r="K53" s="3"/>
      <c r="L53" s="3"/>
      <c r="M53" s="3"/>
      <c r="N53" s="3"/>
    </row>
    <row r="54" spans="2:35" x14ac:dyDescent="0.25">
      <c r="B54" s="32" t="s">
        <v>102</v>
      </c>
      <c r="C54" s="3"/>
      <c r="D54" s="3"/>
      <c r="E54" s="3"/>
      <c r="F54" s="3"/>
      <c r="G54" s="3"/>
      <c r="H54" s="3"/>
      <c r="I54" s="3"/>
      <c r="J54" s="3"/>
      <c r="K54" s="3"/>
      <c r="L54" s="3"/>
      <c r="M54" s="3"/>
      <c r="N54" s="3"/>
    </row>
    <row r="55" spans="2:35" x14ac:dyDescent="0.25">
      <c r="B55" s="2" t="s">
        <v>89</v>
      </c>
      <c r="C55" s="33">
        <v>520</v>
      </c>
      <c r="D55" s="33">
        <v>51</v>
      </c>
      <c r="E55" s="33">
        <f>SUM(C55:D55)</f>
        <v>571</v>
      </c>
      <c r="F55" s="33">
        <v>484</v>
      </c>
      <c r="G55" s="33">
        <v>53</v>
      </c>
      <c r="H55" s="33">
        <f>SUM(F55:G55)</f>
        <v>537</v>
      </c>
      <c r="I55" s="33">
        <v>448</v>
      </c>
      <c r="J55" s="33">
        <v>47</v>
      </c>
      <c r="K55" s="33">
        <f>SUM(I55:J55)</f>
        <v>495</v>
      </c>
      <c r="L55" s="33">
        <v>417</v>
      </c>
      <c r="M55" s="33">
        <v>47</v>
      </c>
      <c r="N55" s="33">
        <f>SUM(L55:M55)</f>
        <v>464</v>
      </c>
      <c r="O55" s="33">
        <v>407</v>
      </c>
      <c r="P55" s="33">
        <v>41</v>
      </c>
      <c r="Q55" s="33">
        <f>SUM(O55:P55)</f>
        <v>448</v>
      </c>
      <c r="R55" s="33">
        <v>390</v>
      </c>
      <c r="S55" s="33">
        <v>37</v>
      </c>
      <c r="T55" s="33">
        <f>SUM(R55:S55)</f>
        <v>427</v>
      </c>
      <c r="U55" s="33">
        <v>384</v>
      </c>
      <c r="V55" s="33">
        <v>29</v>
      </c>
      <c r="W55" s="33">
        <f>SUM(U55:V55)</f>
        <v>413</v>
      </c>
      <c r="X55" s="33">
        <v>412</v>
      </c>
      <c r="Y55" s="33">
        <v>41</v>
      </c>
      <c r="Z55" s="33">
        <f>SUM(X55:Y55)</f>
        <v>453</v>
      </c>
      <c r="AA55" s="33">
        <v>425</v>
      </c>
      <c r="AB55" s="33">
        <v>39</v>
      </c>
      <c r="AC55" s="33">
        <f>SUM(AA55:AB55)</f>
        <v>464</v>
      </c>
      <c r="AD55" s="33">
        <v>428</v>
      </c>
      <c r="AE55" s="33">
        <v>44</v>
      </c>
      <c r="AF55" s="33">
        <f>SUM(AD55:AE55)</f>
        <v>472</v>
      </c>
      <c r="AG55" s="33">
        <v>418</v>
      </c>
      <c r="AH55" s="33">
        <v>55</v>
      </c>
      <c r="AI55" s="33">
        <f>SUM(AG55:AH55)</f>
        <v>473</v>
      </c>
    </row>
    <row r="56" spans="2:35" x14ac:dyDescent="0.25">
      <c r="B56" s="2" t="s">
        <v>90</v>
      </c>
      <c r="C56" s="33">
        <v>369</v>
      </c>
      <c r="D56" s="33">
        <v>24</v>
      </c>
      <c r="E56" s="33">
        <f t="shared" ref="E56:E63" si="152">SUM(C56:D56)</f>
        <v>393</v>
      </c>
      <c r="F56" s="33">
        <v>335</v>
      </c>
      <c r="G56" s="33">
        <v>26</v>
      </c>
      <c r="H56" s="33">
        <f t="shared" ref="H56:H63" si="153">SUM(F56:G56)</f>
        <v>361</v>
      </c>
      <c r="I56" s="33">
        <v>373</v>
      </c>
      <c r="J56" s="33">
        <v>30</v>
      </c>
      <c r="K56" s="33">
        <f t="shared" ref="K56:K63" si="154">SUM(I56:J56)</f>
        <v>403</v>
      </c>
      <c r="L56" s="33">
        <v>319</v>
      </c>
      <c r="M56" s="33">
        <v>29</v>
      </c>
      <c r="N56" s="33">
        <f t="shared" ref="N56:N63" si="155">SUM(L56:M56)</f>
        <v>348</v>
      </c>
      <c r="O56" s="33">
        <v>292</v>
      </c>
      <c r="P56" s="33">
        <v>24</v>
      </c>
      <c r="Q56" s="33">
        <f t="shared" ref="Q56:Q63" si="156">SUM(O56:P56)</f>
        <v>316</v>
      </c>
      <c r="R56" s="33">
        <v>327</v>
      </c>
      <c r="S56" s="33">
        <v>26</v>
      </c>
      <c r="T56" s="33">
        <f t="shared" ref="T56:T63" si="157">SUM(R56:S56)</f>
        <v>353</v>
      </c>
      <c r="U56" s="33">
        <v>267</v>
      </c>
      <c r="V56" s="33">
        <v>22</v>
      </c>
      <c r="W56" s="33">
        <f t="shared" ref="W56:W63" si="158">SUM(U56:V56)</f>
        <v>289</v>
      </c>
      <c r="X56" s="33">
        <v>303</v>
      </c>
      <c r="Y56" s="33">
        <v>25</v>
      </c>
      <c r="Z56" s="33">
        <f t="shared" ref="Z56:Z63" si="159">SUM(X56:Y56)</f>
        <v>328</v>
      </c>
      <c r="AA56" s="33">
        <v>323</v>
      </c>
      <c r="AB56" s="33">
        <v>20</v>
      </c>
      <c r="AC56" s="33">
        <f t="shared" ref="AC56:AC63" si="160">SUM(AA56:AB56)</f>
        <v>343</v>
      </c>
      <c r="AD56" s="33">
        <v>267</v>
      </c>
      <c r="AE56" s="33">
        <v>18</v>
      </c>
      <c r="AF56" s="33">
        <f t="shared" ref="AF56:AF63" si="161">SUM(AD56:AE56)</f>
        <v>285</v>
      </c>
      <c r="AG56" s="33">
        <v>269</v>
      </c>
      <c r="AH56" s="33">
        <v>28</v>
      </c>
      <c r="AI56" s="33">
        <f t="shared" ref="AI56:AI63" si="162">SUM(AG56:AH56)</f>
        <v>297</v>
      </c>
    </row>
    <row r="57" spans="2:35" x14ac:dyDescent="0.25">
      <c r="B57" s="2" t="s">
        <v>91</v>
      </c>
      <c r="C57" s="33">
        <v>397</v>
      </c>
      <c r="D57" s="33">
        <v>44</v>
      </c>
      <c r="E57" s="33">
        <f t="shared" si="152"/>
        <v>441</v>
      </c>
      <c r="F57" s="33">
        <v>397</v>
      </c>
      <c r="G57" s="33">
        <v>21</v>
      </c>
      <c r="H57" s="33">
        <f t="shared" si="153"/>
        <v>418</v>
      </c>
      <c r="I57" s="33">
        <v>387</v>
      </c>
      <c r="J57" s="33">
        <v>29</v>
      </c>
      <c r="K57" s="33">
        <f t="shared" si="154"/>
        <v>416</v>
      </c>
      <c r="L57" s="33">
        <v>419</v>
      </c>
      <c r="M57" s="33">
        <v>39</v>
      </c>
      <c r="N57" s="33">
        <f t="shared" si="155"/>
        <v>458</v>
      </c>
      <c r="O57" s="33">
        <v>408</v>
      </c>
      <c r="P57" s="33">
        <v>27</v>
      </c>
      <c r="Q57" s="33">
        <f t="shared" si="156"/>
        <v>435</v>
      </c>
      <c r="R57" s="33">
        <v>403</v>
      </c>
      <c r="S57" s="33">
        <v>23</v>
      </c>
      <c r="T57" s="33">
        <f t="shared" si="157"/>
        <v>426</v>
      </c>
      <c r="U57" s="33">
        <v>405</v>
      </c>
      <c r="V57" s="33">
        <v>22</v>
      </c>
      <c r="W57" s="33">
        <f t="shared" si="158"/>
        <v>427</v>
      </c>
      <c r="X57" s="33">
        <v>420</v>
      </c>
      <c r="Y57" s="33">
        <v>34</v>
      </c>
      <c r="Z57" s="33">
        <f t="shared" si="159"/>
        <v>454</v>
      </c>
      <c r="AA57" s="33">
        <v>409</v>
      </c>
      <c r="AB57" s="33">
        <v>28</v>
      </c>
      <c r="AC57" s="33">
        <f t="shared" si="160"/>
        <v>437</v>
      </c>
      <c r="AD57" s="33">
        <v>473</v>
      </c>
      <c r="AE57" s="33">
        <v>21</v>
      </c>
      <c r="AF57" s="33">
        <f t="shared" si="161"/>
        <v>494</v>
      </c>
      <c r="AG57" s="33">
        <v>505</v>
      </c>
      <c r="AH57" s="33">
        <v>28</v>
      </c>
      <c r="AI57" s="33">
        <f t="shared" si="162"/>
        <v>533</v>
      </c>
    </row>
    <row r="58" spans="2:35" x14ac:dyDescent="0.25">
      <c r="B58" s="2" t="s">
        <v>92</v>
      </c>
      <c r="C58" s="33">
        <v>234</v>
      </c>
      <c r="D58" s="33">
        <v>15</v>
      </c>
      <c r="E58" s="33">
        <f t="shared" si="152"/>
        <v>249</v>
      </c>
      <c r="F58" s="33">
        <v>217</v>
      </c>
      <c r="G58" s="33">
        <v>11</v>
      </c>
      <c r="H58" s="33">
        <f t="shared" si="153"/>
        <v>228</v>
      </c>
      <c r="I58" s="33">
        <v>219</v>
      </c>
      <c r="J58" s="33">
        <v>16</v>
      </c>
      <c r="K58" s="33">
        <f t="shared" si="154"/>
        <v>235</v>
      </c>
      <c r="L58" s="33">
        <v>216</v>
      </c>
      <c r="M58" s="33">
        <v>12</v>
      </c>
      <c r="N58" s="33">
        <f t="shared" si="155"/>
        <v>228</v>
      </c>
      <c r="O58" s="33">
        <v>172</v>
      </c>
      <c r="P58" s="33">
        <v>9</v>
      </c>
      <c r="Q58" s="33">
        <f t="shared" si="156"/>
        <v>181</v>
      </c>
      <c r="R58" s="33">
        <v>170</v>
      </c>
      <c r="S58" s="33">
        <v>11</v>
      </c>
      <c r="T58" s="33">
        <f t="shared" si="157"/>
        <v>181</v>
      </c>
      <c r="U58" s="33">
        <v>121</v>
      </c>
      <c r="V58" s="33">
        <v>12</v>
      </c>
      <c r="W58" s="33">
        <f t="shared" si="158"/>
        <v>133</v>
      </c>
      <c r="X58" s="33">
        <v>157</v>
      </c>
      <c r="Y58" s="33">
        <v>10</v>
      </c>
      <c r="Z58" s="33">
        <f t="shared" si="159"/>
        <v>167</v>
      </c>
      <c r="AA58" s="33">
        <v>175</v>
      </c>
      <c r="AB58" s="33">
        <v>5</v>
      </c>
      <c r="AC58" s="33">
        <f t="shared" si="160"/>
        <v>180</v>
      </c>
      <c r="AD58" s="33">
        <v>120</v>
      </c>
      <c r="AE58" s="33">
        <v>14</v>
      </c>
      <c r="AF58" s="33">
        <f t="shared" si="161"/>
        <v>134</v>
      </c>
      <c r="AG58" s="33">
        <v>107</v>
      </c>
      <c r="AH58" s="33">
        <v>9</v>
      </c>
      <c r="AI58" s="33">
        <f t="shared" si="162"/>
        <v>116</v>
      </c>
    </row>
    <row r="59" spans="2:35" x14ac:dyDescent="0.25">
      <c r="B59" s="2" t="s">
        <v>93</v>
      </c>
      <c r="C59" s="33">
        <v>153</v>
      </c>
      <c r="D59" s="33">
        <v>10</v>
      </c>
      <c r="E59" s="33">
        <f t="shared" si="152"/>
        <v>163</v>
      </c>
      <c r="F59" s="33">
        <v>141</v>
      </c>
      <c r="G59" s="33">
        <v>6</v>
      </c>
      <c r="H59" s="33">
        <f t="shared" si="153"/>
        <v>147</v>
      </c>
      <c r="I59" s="33">
        <v>199</v>
      </c>
      <c r="J59" s="33">
        <v>3</v>
      </c>
      <c r="K59" s="33">
        <f t="shared" si="154"/>
        <v>202</v>
      </c>
      <c r="L59" s="33">
        <v>168</v>
      </c>
      <c r="M59" s="33">
        <v>11</v>
      </c>
      <c r="N59" s="33">
        <f t="shared" si="155"/>
        <v>179</v>
      </c>
      <c r="O59" s="33">
        <v>164</v>
      </c>
      <c r="P59" s="33">
        <v>9</v>
      </c>
      <c r="Q59" s="33">
        <f t="shared" si="156"/>
        <v>173</v>
      </c>
      <c r="R59" s="33">
        <v>173</v>
      </c>
      <c r="S59" s="33">
        <v>13</v>
      </c>
      <c r="T59" s="33">
        <f t="shared" si="157"/>
        <v>186</v>
      </c>
      <c r="U59" s="33">
        <v>132</v>
      </c>
      <c r="V59" s="33">
        <v>13</v>
      </c>
      <c r="W59" s="33">
        <f t="shared" si="158"/>
        <v>145</v>
      </c>
      <c r="X59" s="33">
        <v>151</v>
      </c>
      <c r="Y59" s="33">
        <v>13</v>
      </c>
      <c r="Z59" s="33">
        <f t="shared" si="159"/>
        <v>164</v>
      </c>
      <c r="AA59" s="33">
        <v>170</v>
      </c>
      <c r="AB59" s="33">
        <v>9</v>
      </c>
      <c r="AC59" s="33">
        <f t="shared" si="160"/>
        <v>179</v>
      </c>
      <c r="AD59" s="33">
        <v>250</v>
      </c>
      <c r="AE59" s="33">
        <v>17</v>
      </c>
      <c r="AF59" s="33">
        <f t="shared" si="161"/>
        <v>267</v>
      </c>
      <c r="AG59" s="33">
        <v>268</v>
      </c>
      <c r="AH59" s="33">
        <v>21</v>
      </c>
      <c r="AI59" s="33">
        <f t="shared" si="162"/>
        <v>289</v>
      </c>
    </row>
    <row r="60" spans="2:35" x14ac:dyDescent="0.25">
      <c r="B60" s="2" t="s">
        <v>94</v>
      </c>
      <c r="C60" s="33">
        <v>95</v>
      </c>
      <c r="D60" s="33">
        <v>2</v>
      </c>
      <c r="E60" s="33">
        <f t="shared" si="152"/>
        <v>97</v>
      </c>
      <c r="F60" s="33">
        <v>98</v>
      </c>
      <c r="G60" s="33">
        <v>1</v>
      </c>
      <c r="H60" s="33">
        <f t="shared" si="153"/>
        <v>99</v>
      </c>
      <c r="I60" s="33">
        <v>133</v>
      </c>
      <c r="J60" s="33">
        <v>2</v>
      </c>
      <c r="K60" s="33">
        <f t="shared" si="154"/>
        <v>135</v>
      </c>
      <c r="L60" s="33">
        <v>138</v>
      </c>
      <c r="M60" s="33">
        <v>2</v>
      </c>
      <c r="N60" s="33">
        <f t="shared" si="155"/>
        <v>140</v>
      </c>
      <c r="O60" s="33">
        <v>117</v>
      </c>
      <c r="P60" s="33">
        <v>1</v>
      </c>
      <c r="Q60" s="33">
        <f t="shared" si="156"/>
        <v>118</v>
      </c>
      <c r="R60" s="33">
        <v>110</v>
      </c>
      <c r="S60" s="33">
        <v>3</v>
      </c>
      <c r="T60" s="33">
        <f t="shared" si="157"/>
        <v>113</v>
      </c>
      <c r="U60" s="33">
        <v>106</v>
      </c>
      <c r="V60" s="33">
        <v>1</v>
      </c>
      <c r="W60" s="33">
        <f t="shared" si="158"/>
        <v>107</v>
      </c>
      <c r="X60" s="33">
        <v>128</v>
      </c>
      <c r="Y60" s="33">
        <v>6</v>
      </c>
      <c r="Z60" s="33">
        <f t="shared" si="159"/>
        <v>134</v>
      </c>
      <c r="AA60" s="33">
        <v>143</v>
      </c>
      <c r="AB60" s="33">
        <v>3</v>
      </c>
      <c r="AC60" s="33">
        <f t="shared" si="160"/>
        <v>146</v>
      </c>
      <c r="AD60" s="33">
        <v>153</v>
      </c>
      <c r="AE60" s="33">
        <v>1</v>
      </c>
      <c r="AF60" s="33">
        <f t="shared" si="161"/>
        <v>154</v>
      </c>
      <c r="AG60" s="33">
        <v>190</v>
      </c>
      <c r="AH60" s="33">
        <v>5</v>
      </c>
      <c r="AI60" s="33">
        <f t="shared" si="162"/>
        <v>195</v>
      </c>
    </row>
    <row r="61" spans="2:35" x14ac:dyDescent="0.25">
      <c r="B61" s="2" t="s">
        <v>95</v>
      </c>
      <c r="C61" s="33">
        <v>140</v>
      </c>
      <c r="D61" s="33">
        <v>7</v>
      </c>
      <c r="E61" s="33">
        <f t="shared" si="152"/>
        <v>147</v>
      </c>
      <c r="F61" s="33">
        <v>122</v>
      </c>
      <c r="G61" s="33">
        <v>14</v>
      </c>
      <c r="H61" s="33">
        <f t="shared" si="153"/>
        <v>136</v>
      </c>
      <c r="I61" s="33">
        <v>137</v>
      </c>
      <c r="J61" s="33">
        <v>15</v>
      </c>
      <c r="K61" s="33">
        <f t="shared" si="154"/>
        <v>152</v>
      </c>
      <c r="L61" s="33">
        <v>132</v>
      </c>
      <c r="M61" s="33">
        <v>11</v>
      </c>
      <c r="N61" s="33">
        <f t="shared" si="155"/>
        <v>143</v>
      </c>
      <c r="O61" s="33">
        <v>152</v>
      </c>
      <c r="P61" s="33">
        <v>22</v>
      </c>
      <c r="Q61" s="33">
        <f t="shared" si="156"/>
        <v>174</v>
      </c>
      <c r="R61" s="33">
        <v>119</v>
      </c>
      <c r="S61" s="33">
        <v>23</v>
      </c>
      <c r="T61" s="33">
        <f t="shared" si="157"/>
        <v>142</v>
      </c>
      <c r="U61" s="33">
        <v>90</v>
      </c>
      <c r="V61" s="33">
        <v>18</v>
      </c>
      <c r="W61" s="33">
        <f t="shared" si="158"/>
        <v>108</v>
      </c>
      <c r="X61" s="33">
        <v>94</v>
      </c>
      <c r="Y61" s="33">
        <v>16</v>
      </c>
      <c r="Z61" s="33">
        <f t="shared" si="159"/>
        <v>110</v>
      </c>
      <c r="AA61" s="33">
        <v>95</v>
      </c>
      <c r="AB61" s="33">
        <v>16</v>
      </c>
      <c r="AC61" s="33">
        <f t="shared" si="160"/>
        <v>111</v>
      </c>
      <c r="AD61" s="33">
        <v>114</v>
      </c>
      <c r="AE61" s="33">
        <v>20</v>
      </c>
      <c r="AF61" s="33">
        <f t="shared" si="161"/>
        <v>134</v>
      </c>
      <c r="AG61" s="33">
        <v>107</v>
      </c>
      <c r="AH61" s="33">
        <v>23</v>
      </c>
      <c r="AI61" s="33">
        <f t="shared" si="162"/>
        <v>130</v>
      </c>
    </row>
    <row r="62" spans="2:35" x14ac:dyDescent="0.25">
      <c r="B62" s="2" t="s">
        <v>96</v>
      </c>
      <c r="C62" s="33">
        <v>147</v>
      </c>
      <c r="D62" s="33">
        <v>8</v>
      </c>
      <c r="E62" s="33">
        <f t="shared" si="152"/>
        <v>155</v>
      </c>
      <c r="F62" s="33">
        <v>177</v>
      </c>
      <c r="G62" s="33">
        <v>9</v>
      </c>
      <c r="H62" s="33">
        <f t="shared" si="153"/>
        <v>186</v>
      </c>
      <c r="I62" s="33">
        <v>185</v>
      </c>
      <c r="J62" s="33">
        <v>10</v>
      </c>
      <c r="K62" s="33">
        <f t="shared" si="154"/>
        <v>195</v>
      </c>
      <c r="L62" s="33">
        <v>144</v>
      </c>
      <c r="M62" s="33">
        <v>6</v>
      </c>
      <c r="N62" s="33">
        <f t="shared" si="155"/>
        <v>150</v>
      </c>
      <c r="O62" s="33">
        <v>145</v>
      </c>
      <c r="P62" s="33">
        <v>10</v>
      </c>
      <c r="Q62" s="33">
        <f t="shared" si="156"/>
        <v>155</v>
      </c>
      <c r="R62" s="33">
        <v>170</v>
      </c>
      <c r="S62" s="33">
        <v>7</v>
      </c>
      <c r="T62" s="33">
        <f t="shared" si="157"/>
        <v>177</v>
      </c>
      <c r="U62" s="33">
        <v>117</v>
      </c>
      <c r="V62" s="33">
        <v>11</v>
      </c>
      <c r="W62" s="33">
        <f t="shared" si="158"/>
        <v>128</v>
      </c>
      <c r="X62" s="33">
        <v>233</v>
      </c>
      <c r="Y62" s="33">
        <v>15</v>
      </c>
      <c r="Z62" s="33">
        <f t="shared" si="159"/>
        <v>248</v>
      </c>
      <c r="AA62" s="33">
        <v>188</v>
      </c>
      <c r="AB62" s="33">
        <v>16</v>
      </c>
      <c r="AC62" s="33">
        <f t="shared" si="160"/>
        <v>204</v>
      </c>
      <c r="AD62" s="33">
        <v>153</v>
      </c>
      <c r="AE62" s="33">
        <v>13</v>
      </c>
      <c r="AF62" s="33">
        <f t="shared" si="161"/>
        <v>166</v>
      </c>
      <c r="AG62" s="33">
        <v>138</v>
      </c>
      <c r="AH62" s="33">
        <v>7</v>
      </c>
      <c r="AI62" s="33">
        <f t="shared" si="162"/>
        <v>145</v>
      </c>
    </row>
    <row r="63" spans="2:35" x14ac:dyDescent="0.25">
      <c r="B63" s="2" t="s">
        <v>97</v>
      </c>
      <c r="C63" s="33">
        <v>25</v>
      </c>
      <c r="D63" s="33">
        <v>0</v>
      </c>
      <c r="E63" s="33">
        <f t="shared" si="152"/>
        <v>25</v>
      </c>
      <c r="F63" s="33">
        <v>28</v>
      </c>
      <c r="G63" s="33">
        <v>2</v>
      </c>
      <c r="H63" s="33">
        <f t="shared" si="153"/>
        <v>30</v>
      </c>
      <c r="I63" s="33">
        <v>63</v>
      </c>
      <c r="J63" s="33">
        <v>5</v>
      </c>
      <c r="K63" s="33">
        <f t="shared" si="154"/>
        <v>68</v>
      </c>
      <c r="L63" s="33">
        <v>30</v>
      </c>
      <c r="M63" s="33">
        <v>3</v>
      </c>
      <c r="N63" s="33">
        <f t="shared" si="155"/>
        <v>33</v>
      </c>
      <c r="O63" s="33">
        <v>33</v>
      </c>
      <c r="P63" s="33">
        <v>1</v>
      </c>
      <c r="Q63" s="33">
        <f t="shared" si="156"/>
        <v>34</v>
      </c>
      <c r="R63" s="33">
        <v>31</v>
      </c>
      <c r="S63" s="33">
        <v>0</v>
      </c>
      <c r="T63" s="33">
        <f t="shared" si="157"/>
        <v>31</v>
      </c>
      <c r="U63" s="33">
        <v>22</v>
      </c>
      <c r="V63" s="33">
        <v>1</v>
      </c>
      <c r="W63" s="33">
        <f t="shared" si="158"/>
        <v>23</v>
      </c>
      <c r="X63" s="33">
        <v>31</v>
      </c>
      <c r="Y63" s="33">
        <v>2</v>
      </c>
      <c r="Z63" s="33">
        <f t="shared" si="159"/>
        <v>33</v>
      </c>
      <c r="AA63" s="33">
        <v>38</v>
      </c>
      <c r="AB63" s="33">
        <v>1</v>
      </c>
      <c r="AC63" s="33">
        <f t="shared" si="160"/>
        <v>39</v>
      </c>
      <c r="AD63" s="33">
        <v>54</v>
      </c>
      <c r="AE63" s="33">
        <v>3</v>
      </c>
      <c r="AF63" s="33">
        <f t="shared" si="161"/>
        <v>57</v>
      </c>
      <c r="AG63" s="33">
        <v>91</v>
      </c>
      <c r="AH63" s="33">
        <v>2</v>
      </c>
      <c r="AI63" s="33">
        <f t="shared" si="162"/>
        <v>93</v>
      </c>
    </row>
    <row r="64" spans="2:35" x14ac:dyDescent="0.25">
      <c r="C64" s="34">
        <f>SUM(C55:C63)</f>
        <v>2080</v>
      </c>
      <c r="D64" s="33">
        <f t="shared" ref="D64:Q64" si="163">SUM(D55:D63)</f>
        <v>161</v>
      </c>
      <c r="E64" s="34">
        <f t="shared" si="163"/>
        <v>2241</v>
      </c>
      <c r="F64" s="34">
        <f t="shared" si="163"/>
        <v>1999</v>
      </c>
      <c r="G64" s="33">
        <f t="shared" si="163"/>
        <v>143</v>
      </c>
      <c r="H64" s="34">
        <f t="shared" si="163"/>
        <v>2142</v>
      </c>
      <c r="I64" s="34">
        <f t="shared" si="163"/>
        <v>2144</v>
      </c>
      <c r="J64" s="33">
        <f t="shared" si="163"/>
        <v>157</v>
      </c>
      <c r="K64" s="34">
        <f t="shared" si="163"/>
        <v>2301</v>
      </c>
      <c r="L64" s="34">
        <f t="shared" si="163"/>
        <v>1983</v>
      </c>
      <c r="M64" s="33">
        <f t="shared" si="163"/>
        <v>160</v>
      </c>
      <c r="N64" s="34">
        <f t="shared" si="163"/>
        <v>2143</v>
      </c>
      <c r="O64" s="34">
        <f t="shared" si="163"/>
        <v>1890</v>
      </c>
      <c r="P64" s="34">
        <f t="shared" si="163"/>
        <v>144</v>
      </c>
      <c r="Q64" s="34">
        <f t="shared" si="163"/>
        <v>2034</v>
      </c>
      <c r="R64" s="34">
        <f>SUM(R55:R63)</f>
        <v>1893</v>
      </c>
      <c r="S64" s="34">
        <f t="shared" ref="S64" si="164">SUM(S55:S63)</f>
        <v>143</v>
      </c>
      <c r="T64" s="34">
        <f>SUM(T55:T63)</f>
        <v>2036</v>
      </c>
      <c r="U64" s="34">
        <f>SUM(U55:U63)</f>
        <v>1644</v>
      </c>
      <c r="V64" s="34">
        <f t="shared" ref="V64" si="165">SUM(V55:V63)</f>
        <v>129</v>
      </c>
      <c r="W64" s="34">
        <f>SUM(W55:W63)</f>
        <v>1773</v>
      </c>
      <c r="X64" s="34">
        <f>SUM(X55:X63)</f>
        <v>1929</v>
      </c>
      <c r="Y64" s="34">
        <f t="shared" ref="Y64" si="166">SUM(Y55:Y63)</f>
        <v>162</v>
      </c>
      <c r="Z64" s="34">
        <f>SUM(Z55:Z63)</f>
        <v>2091</v>
      </c>
      <c r="AA64" s="34">
        <f>SUM(AA55:AA63)</f>
        <v>1966</v>
      </c>
      <c r="AB64" s="34">
        <f t="shared" ref="AB64" si="167">SUM(AB55:AB63)</f>
        <v>137</v>
      </c>
      <c r="AC64" s="34">
        <f t="shared" ref="AC64:AI64" si="168">SUM(AC55:AC63)</f>
        <v>2103</v>
      </c>
      <c r="AD64" s="34">
        <f t="shared" si="168"/>
        <v>2012</v>
      </c>
      <c r="AE64" s="34">
        <f t="shared" si="168"/>
        <v>151</v>
      </c>
      <c r="AF64" s="34">
        <f t="shared" si="168"/>
        <v>2163</v>
      </c>
      <c r="AG64" s="34">
        <f t="shared" si="168"/>
        <v>2093</v>
      </c>
      <c r="AH64" s="34">
        <f t="shared" si="168"/>
        <v>178</v>
      </c>
      <c r="AI64" s="34">
        <f t="shared" si="168"/>
        <v>2271</v>
      </c>
    </row>
    <row r="68" spans="2:35" ht="18.75" x14ac:dyDescent="0.3">
      <c r="B68" s="15" t="s">
        <v>126</v>
      </c>
      <c r="C68" s="165">
        <v>2014</v>
      </c>
      <c r="D68" s="165"/>
      <c r="E68" s="165"/>
      <c r="F68" s="165">
        <v>2015</v>
      </c>
      <c r="G68" s="165"/>
      <c r="H68" s="165"/>
      <c r="I68" s="165">
        <v>2016</v>
      </c>
      <c r="J68" s="165"/>
      <c r="K68" s="165"/>
      <c r="L68" s="165">
        <v>2017</v>
      </c>
      <c r="M68" s="165"/>
      <c r="N68" s="165"/>
      <c r="O68" s="165">
        <v>2018</v>
      </c>
      <c r="P68" s="165"/>
      <c r="Q68" s="165"/>
      <c r="R68" s="165">
        <v>2019</v>
      </c>
      <c r="S68" s="165"/>
      <c r="T68" s="165"/>
      <c r="U68" s="165">
        <v>2020</v>
      </c>
      <c r="V68" s="165"/>
      <c r="W68" s="165"/>
      <c r="X68" s="165">
        <v>2021</v>
      </c>
      <c r="Y68" s="165"/>
      <c r="Z68" s="165"/>
      <c r="AA68" s="165">
        <v>2022</v>
      </c>
      <c r="AB68" s="165"/>
      <c r="AC68" s="165"/>
      <c r="AD68" s="165">
        <v>2023</v>
      </c>
      <c r="AE68" s="165"/>
      <c r="AF68" s="165"/>
      <c r="AG68" s="165">
        <v>2024</v>
      </c>
      <c r="AH68" s="165"/>
      <c r="AI68" s="165"/>
    </row>
    <row r="69" spans="2:35" ht="18.75" x14ac:dyDescent="0.3">
      <c r="B69" s="17"/>
      <c r="C69" s="31" t="s">
        <v>100</v>
      </c>
      <c r="D69" s="31" t="s">
        <v>101</v>
      </c>
      <c r="E69" s="31" t="s">
        <v>80</v>
      </c>
      <c r="F69" s="31" t="s">
        <v>100</v>
      </c>
      <c r="G69" s="31" t="s">
        <v>101</v>
      </c>
      <c r="H69" s="31" t="s">
        <v>80</v>
      </c>
      <c r="I69" s="31" t="s">
        <v>100</v>
      </c>
      <c r="J69" s="31" t="s">
        <v>101</v>
      </c>
      <c r="K69" s="31" t="s">
        <v>80</v>
      </c>
      <c r="L69" s="31" t="s">
        <v>100</v>
      </c>
      <c r="M69" s="31" t="s">
        <v>101</v>
      </c>
      <c r="N69" s="31" t="s">
        <v>80</v>
      </c>
      <c r="O69" s="31" t="s">
        <v>100</v>
      </c>
      <c r="P69" s="31" t="s">
        <v>101</v>
      </c>
      <c r="Q69" s="31" t="s">
        <v>80</v>
      </c>
      <c r="R69" s="31" t="s">
        <v>100</v>
      </c>
      <c r="S69" s="31" t="s">
        <v>101</v>
      </c>
      <c r="T69" s="31" t="s">
        <v>80</v>
      </c>
      <c r="U69" s="31" t="s">
        <v>100</v>
      </c>
      <c r="V69" s="31" t="s">
        <v>101</v>
      </c>
      <c r="W69" s="31" t="s">
        <v>80</v>
      </c>
      <c r="X69" s="31" t="s">
        <v>100</v>
      </c>
      <c r="Y69" s="31" t="s">
        <v>101</v>
      </c>
      <c r="Z69" s="31" t="s">
        <v>80</v>
      </c>
      <c r="AA69" s="31" t="s">
        <v>100</v>
      </c>
      <c r="AB69" s="31" t="s">
        <v>101</v>
      </c>
      <c r="AC69" s="31" t="s">
        <v>80</v>
      </c>
      <c r="AD69" s="31" t="s">
        <v>100</v>
      </c>
      <c r="AE69" s="31" t="s">
        <v>101</v>
      </c>
      <c r="AF69" s="31" t="s">
        <v>80</v>
      </c>
      <c r="AG69" s="31" t="s">
        <v>100</v>
      </c>
      <c r="AH69" s="31" t="s">
        <v>101</v>
      </c>
      <c r="AI69" s="31" t="s">
        <v>80</v>
      </c>
    </row>
    <row r="70" spans="2:35" x14ac:dyDescent="0.25">
      <c r="B70" s="32" t="s">
        <v>276</v>
      </c>
    </row>
    <row r="71" spans="2:35" x14ac:dyDescent="0.25">
      <c r="B71" s="2" t="s">
        <v>89</v>
      </c>
      <c r="C71" s="33">
        <f t="shared" ref="C71" si="169">C87/C96*100</f>
        <v>11.25</v>
      </c>
      <c r="D71" s="33">
        <f>D87/D96*100</f>
        <v>0</v>
      </c>
      <c r="E71" s="33">
        <f t="shared" ref="E71" si="170">E87/E96*100</f>
        <v>10.650887573964498</v>
      </c>
      <c r="F71" s="33">
        <f>F87/F96*100</f>
        <v>11.564625850340136</v>
      </c>
      <c r="G71" s="33">
        <f>G87/G96*100</f>
        <v>0</v>
      </c>
      <c r="H71" s="33">
        <f t="shared" ref="H71" si="171">H87/H96*100</f>
        <v>11.409395973154362</v>
      </c>
      <c r="I71" s="33">
        <f>I87/I96*100</f>
        <v>11.965811965811966</v>
      </c>
      <c r="J71" s="33">
        <f>J87/J96*100</f>
        <v>16.666666666666664</v>
      </c>
      <c r="K71" s="33">
        <f t="shared" ref="K71" si="172">K87/K96*100</f>
        <v>12.195121951219512</v>
      </c>
      <c r="L71" s="33">
        <f t="shared" ref="L71:Q71" si="173">L87/L96*100</f>
        <v>9.7560975609756095</v>
      </c>
      <c r="M71" s="33">
        <f t="shared" si="173"/>
        <v>11.111111111111111</v>
      </c>
      <c r="N71" s="33">
        <f t="shared" si="173"/>
        <v>9.8484848484848477</v>
      </c>
      <c r="O71" s="33">
        <f t="shared" si="173"/>
        <v>9.6</v>
      </c>
      <c r="P71" s="33">
        <f t="shared" si="173"/>
        <v>20</v>
      </c>
      <c r="Q71" s="33">
        <f t="shared" si="173"/>
        <v>10</v>
      </c>
      <c r="R71" s="33">
        <f t="shared" ref="R71:T71" si="174">R87/R96*100</f>
        <v>11.111111111111111</v>
      </c>
      <c r="S71" s="33">
        <f t="shared" si="174"/>
        <v>16.666666666666664</v>
      </c>
      <c r="T71" s="33">
        <f t="shared" si="174"/>
        <v>11.564625850340136</v>
      </c>
      <c r="U71" s="33">
        <f t="shared" ref="U71:W71" si="175">U87/U96*100</f>
        <v>13.725490196078432</v>
      </c>
      <c r="V71" s="33">
        <f t="shared" si="175"/>
        <v>42.857142857142854</v>
      </c>
      <c r="W71" s="33">
        <f t="shared" si="175"/>
        <v>15.596330275229359</v>
      </c>
      <c r="X71" s="33">
        <f t="shared" ref="X71:Z71" si="176">X87/X96*100</f>
        <v>10.526315789473683</v>
      </c>
      <c r="Y71" s="33">
        <f t="shared" si="176"/>
        <v>10</v>
      </c>
      <c r="Z71" s="33">
        <f t="shared" si="176"/>
        <v>10.48951048951049</v>
      </c>
      <c r="AA71" s="33">
        <f t="shared" ref="AA71" si="177">AA87/AA96*100</f>
        <v>9.5238095238095237</v>
      </c>
      <c r="AB71" s="33">
        <f t="shared" ref="AB71:AD71" si="178">AB87/AB96*100</f>
        <v>9.0909090909090917</v>
      </c>
      <c r="AC71" s="33">
        <f t="shared" si="178"/>
        <v>9.4890510948905096</v>
      </c>
      <c r="AD71" s="33">
        <f t="shared" si="178"/>
        <v>16.521739130434781</v>
      </c>
      <c r="AE71" s="33">
        <f t="shared" ref="AE71:AG71" si="179">AE87/AE96*100</f>
        <v>6.666666666666667</v>
      </c>
      <c r="AF71" s="33">
        <f t="shared" si="179"/>
        <v>15.384615384615385</v>
      </c>
      <c r="AG71" s="33">
        <f t="shared" si="179"/>
        <v>16.831683168316832</v>
      </c>
      <c r="AH71" s="33">
        <f t="shared" ref="AH71:AI71" si="180">AH87/AH96*100</f>
        <v>0</v>
      </c>
      <c r="AI71" s="33">
        <f t="shared" si="180"/>
        <v>16.19047619047619</v>
      </c>
    </row>
    <row r="72" spans="2:35" x14ac:dyDescent="0.25">
      <c r="B72" s="2" t="s">
        <v>90</v>
      </c>
      <c r="C72" s="33">
        <f t="shared" ref="C72" si="181">C88/C96*100</f>
        <v>15</v>
      </c>
      <c r="D72" s="33">
        <f>D88/D96*100</f>
        <v>11.111111111111111</v>
      </c>
      <c r="E72" s="33">
        <f t="shared" ref="E72:F72" si="182">E88/E96*100</f>
        <v>14.792899408284024</v>
      </c>
      <c r="F72" s="33">
        <f t="shared" si="182"/>
        <v>17.687074829931973</v>
      </c>
      <c r="G72" s="33">
        <f>G88/G96*100</f>
        <v>0</v>
      </c>
      <c r="H72" s="33">
        <f t="shared" ref="H72:I72" si="183">H88/H96*100</f>
        <v>17.449664429530202</v>
      </c>
      <c r="I72" s="33">
        <f t="shared" si="183"/>
        <v>14.529914529914532</v>
      </c>
      <c r="J72" s="33">
        <f>J88/J96*100</f>
        <v>0</v>
      </c>
      <c r="K72" s="33">
        <f t="shared" ref="K72:L72" si="184">K88/K96*100</f>
        <v>13.821138211382115</v>
      </c>
      <c r="L72" s="33">
        <f t="shared" si="184"/>
        <v>17.886178861788618</v>
      </c>
      <c r="M72" s="33">
        <f>M88/M96*100</f>
        <v>0</v>
      </c>
      <c r="N72" s="33">
        <f>N88/N96*100</f>
        <v>16.666666666666664</v>
      </c>
      <c r="O72" s="33">
        <f t="shared" ref="O72" si="185">O88/O96*100</f>
        <v>13.600000000000001</v>
      </c>
      <c r="P72" s="33">
        <f>P88/P96*100</f>
        <v>0</v>
      </c>
      <c r="Q72" s="33">
        <f>Q88/Q96*100</f>
        <v>13.076923076923078</v>
      </c>
      <c r="R72" s="33">
        <f t="shared" ref="R72" si="186">R88/R96*100</f>
        <v>11.851851851851853</v>
      </c>
      <c r="S72" s="33">
        <f>S88/S96*100</f>
        <v>0</v>
      </c>
      <c r="T72" s="33">
        <f>T88/T96*100</f>
        <v>10.884353741496598</v>
      </c>
      <c r="U72" s="33">
        <f t="shared" ref="U72" si="187">U88/U96*100</f>
        <v>9.8039215686274517</v>
      </c>
      <c r="V72" s="33">
        <f>V88/V96*100</f>
        <v>0</v>
      </c>
      <c r="W72" s="33">
        <f>W88/W96*100</f>
        <v>9.1743119266055047</v>
      </c>
      <c r="X72" s="33">
        <f t="shared" ref="X72" si="188">X88/X96*100</f>
        <v>9.7744360902255636</v>
      </c>
      <c r="Y72" s="33">
        <f>Y88/Y96*100</f>
        <v>10</v>
      </c>
      <c r="Z72" s="33">
        <f>Z88/Z96*100</f>
        <v>9.79020979020979</v>
      </c>
      <c r="AA72" s="33">
        <f t="shared" ref="AA72" si="189">AA88/AA96*100</f>
        <v>12.698412698412698</v>
      </c>
      <c r="AB72" s="33">
        <f>AB88/AB96*100</f>
        <v>0</v>
      </c>
      <c r="AC72" s="33">
        <f>AC88/AC96*100</f>
        <v>11.678832116788321</v>
      </c>
      <c r="AD72" s="33">
        <f t="shared" ref="AD72" si="190">AD88/AD96*100</f>
        <v>10.434782608695652</v>
      </c>
      <c r="AE72" s="33">
        <f>AE88/AE96*100</f>
        <v>0</v>
      </c>
      <c r="AF72" s="33">
        <f>AF88/AF96*100</f>
        <v>9.2307692307692317</v>
      </c>
      <c r="AG72" s="33">
        <f t="shared" ref="AG72" si="191">AG88/AG96*100</f>
        <v>9.9009900990099009</v>
      </c>
      <c r="AH72" s="33">
        <f>AH88/AH96*100</f>
        <v>0</v>
      </c>
      <c r="AI72" s="33">
        <f>AI88/AI96*100</f>
        <v>9.5238095238095237</v>
      </c>
    </row>
    <row r="73" spans="2:35" x14ac:dyDescent="0.25">
      <c r="B73" s="2" t="s">
        <v>91</v>
      </c>
      <c r="C73" s="33">
        <f t="shared" ref="C73:Q73" si="192">C89/C96*100</f>
        <v>31.25</v>
      </c>
      <c r="D73" s="33">
        <f t="shared" si="192"/>
        <v>33.333333333333329</v>
      </c>
      <c r="E73" s="33">
        <f t="shared" si="192"/>
        <v>31.360946745562128</v>
      </c>
      <c r="F73" s="33">
        <f t="shared" si="192"/>
        <v>27.89115646258503</v>
      </c>
      <c r="G73" s="33">
        <f t="shared" si="192"/>
        <v>50</v>
      </c>
      <c r="H73" s="33">
        <f t="shared" si="192"/>
        <v>28.187919463087248</v>
      </c>
      <c r="I73" s="33">
        <f t="shared" si="192"/>
        <v>24.786324786324787</v>
      </c>
      <c r="J73" s="33">
        <f t="shared" si="192"/>
        <v>66.666666666666657</v>
      </c>
      <c r="K73" s="33">
        <f t="shared" si="192"/>
        <v>26.829268292682929</v>
      </c>
      <c r="L73" s="33">
        <f t="shared" si="192"/>
        <v>30.081300813008134</v>
      </c>
      <c r="M73" s="33">
        <f t="shared" si="192"/>
        <v>44.444444444444443</v>
      </c>
      <c r="N73" s="33">
        <f t="shared" si="192"/>
        <v>31.060606060606062</v>
      </c>
      <c r="O73" s="33">
        <f t="shared" si="192"/>
        <v>29.599999999999998</v>
      </c>
      <c r="P73" s="33">
        <f t="shared" si="192"/>
        <v>40</v>
      </c>
      <c r="Q73" s="33">
        <f t="shared" si="192"/>
        <v>30</v>
      </c>
      <c r="R73" s="33">
        <f t="shared" ref="R73:T73" si="193">R89/R96*100</f>
        <v>28.888888888888886</v>
      </c>
      <c r="S73" s="33">
        <f t="shared" si="193"/>
        <v>41.666666666666671</v>
      </c>
      <c r="T73" s="33">
        <f t="shared" si="193"/>
        <v>29.931972789115648</v>
      </c>
      <c r="U73" s="33">
        <f t="shared" ref="U73:W73" si="194">U89/U96*100</f>
        <v>39.215686274509807</v>
      </c>
      <c r="V73" s="33">
        <f t="shared" si="194"/>
        <v>28.571428571428569</v>
      </c>
      <c r="W73" s="33">
        <f t="shared" si="194"/>
        <v>38.532110091743121</v>
      </c>
      <c r="X73" s="33">
        <f t="shared" ref="X73:Z73" si="195">X89/X96*100</f>
        <v>42.105263157894733</v>
      </c>
      <c r="Y73" s="33">
        <f t="shared" si="195"/>
        <v>40</v>
      </c>
      <c r="Z73" s="33">
        <f t="shared" si="195"/>
        <v>41.95804195804196</v>
      </c>
      <c r="AA73" s="33">
        <f t="shared" ref="AA73" si="196">AA89/AA96*100</f>
        <v>35.714285714285715</v>
      </c>
      <c r="AB73" s="33">
        <f t="shared" ref="AB73:AD73" si="197">AB89/AB96*100</f>
        <v>81.818181818181827</v>
      </c>
      <c r="AC73" s="33">
        <f t="shared" si="197"/>
        <v>39.416058394160586</v>
      </c>
      <c r="AD73" s="33">
        <f t="shared" si="197"/>
        <v>24.347826086956523</v>
      </c>
      <c r="AE73" s="33">
        <f t="shared" ref="AE73:AG73" si="198">AE89/AE96*100</f>
        <v>60</v>
      </c>
      <c r="AF73" s="33">
        <f t="shared" si="198"/>
        <v>28.46153846153846</v>
      </c>
      <c r="AG73" s="33">
        <f t="shared" si="198"/>
        <v>41.584158415841586</v>
      </c>
      <c r="AH73" s="33">
        <f t="shared" ref="AH73:AI73" si="199">AH89/AH96*100</f>
        <v>75</v>
      </c>
      <c r="AI73" s="33">
        <f t="shared" si="199"/>
        <v>42.857142857142854</v>
      </c>
    </row>
    <row r="74" spans="2:35" x14ac:dyDescent="0.25">
      <c r="B74" s="2" t="s">
        <v>92</v>
      </c>
      <c r="C74" s="33">
        <f t="shared" ref="C74:P74" si="200">C90/C96*100</f>
        <v>6.8750000000000009</v>
      </c>
      <c r="D74" s="33">
        <f t="shared" si="200"/>
        <v>33.333333333333329</v>
      </c>
      <c r="E74" s="33">
        <f t="shared" si="200"/>
        <v>8.2840236686390547</v>
      </c>
      <c r="F74" s="33">
        <f t="shared" si="200"/>
        <v>6.1224489795918364</v>
      </c>
      <c r="G74" s="33">
        <f t="shared" si="200"/>
        <v>50</v>
      </c>
      <c r="H74" s="33">
        <f t="shared" si="200"/>
        <v>6.7114093959731544</v>
      </c>
      <c r="I74" s="33">
        <f t="shared" si="200"/>
        <v>5.1282051282051277</v>
      </c>
      <c r="J74" s="33">
        <f t="shared" si="200"/>
        <v>0</v>
      </c>
      <c r="K74" s="33">
        <f t="shared" si="200"/>
        <v>4.8780487804878048</v>
      </c>
      <c r="L74" s="33">
        <f t="shared" si="200"/>
        <v>6.5040650406504072</v>
      </c>
      <c r="M74" s="33">
        <f t="shared" si="200"/>
        <v>22.222222222222221</v>
      </c>
      <c r="N74" s="33">
        <f>N90/N96*100</f>
        <v>7.5757575757575761</v>
      </c>
      <c r="O74" s="33">
        <f t="shared" si="200"/>
        <v>10.4</v>
      </c>
      <c r="P74" s="33">
        <f t="shared" si="200"/>
        <v>20</v>
      </c>
      <c r="Q74" s="33">
        <f>Q90/Q96*100</f>
        <v>10.76923076923077</v>
      </c>
      <c r="R74" s="33">
        <f t="shared" ref="R74:S74" si="201">R90/R96*100</f>
        <v>8.8888888888888893</v>
      </c>
      <c r="S74" s="33">
        <f t="shared" si="201"/>
        <v>16.666666666666664</v>
      </c>
      <c r="T74" s="33">
        <f>T90/T96*100</f>
        <v>9.5238095238095237</v>
      </c>
      <c r="U74" s="33">
        <f t="shared" ref="U74:V74" si="202">U90/U96*100</f>
        <v>7.8431372549019605</v>
      </c>
      <c r="V74" s="33">
        <f t="shared" si="202"/>
        <v>0</v>
      </c>
      <c r="W74" s="33">
        <f>W90/W96*100</f>
        <v>7.3394495412844041</v>
      </c>
      <c r="X74" s="33">
        <f t="shared" ref="X74:Y74" si="203">X90/X96*100</f>
        <v>5.2631578947368416</v>
      </c>
      <c r="Y74" s="33">
        <f t="shared" si="203"/>
        <v>10</v>
      </c>
      <c r="Z74" s="33">
        <f>Z90/Z96*100</f>
        <v>5.5944055944055942</v>
      </c>
      <c r="AA74" s="33">
        <f t="shared" ref="AA74" si="204">AA90/AA96*100</f>
        <v>6.3492063492063489</v>
      </c>
      <c r="AB74" s="33">
        <f t="shared" ref="AB74" si="205">AB90/AB96*100</f>
        <v>0</v>
      </c>
      <c r="AC74" s="33">
        <f>AC90/AC96*100</f>
        <v>5.8394160583941606</v>
      </c>
      <c r="AD74" s="33">
        <f t="shared" ref="AD74:AE74" si="206">AD90/AD96*100</f>
        <v>6.0869565217391308</v>
      </c>
      <c r="AE74" s="33">
        <f t="shared" si="206"/>
        <v>0</v>
      </c>
      <c r="AF74" s="33">
        <f>AF90/AF96*100</f>
        <v>5.384615384615385</v>
      </c>
      <c r="AG74" s="33">
        <f t="shared" ref="AG74:AH74" si="207">AG90/AG96*100</f>
        <v>4.9504950495049505</v>
      </c>
      <c r="AH74" s="33">
        <f t="shared" si="207"/>
        <v>25</v>
      </c>
      <c r="AI74" s="33">
        <f>AI90/AI96*100</f>
        <v>5.7142857142857144</v>
      </c>
    </row>
    <row r="75" spans="2:35" x14ac:dyDescent="0.25">
      <c r="B75" s="2" t="s">
        <v>93</v>
      </c>
      <c r="C75" s="33">
        <f t="shared" ref="C75:Q75" si="208">C91/C96*100</f>
        <v>4.375</v>
      </c>
      <c r="D75" s="33">
        <f t="shared" si="208"/>
        <v>0</v>
      </c>
      <c r="E75" s="33">
        <f t="shared" si="208"/>
        <v>4.1420118343195274</v>
      </c>
      <c r="F75" s="33">
        <f t="shared" si="208"/>
        <v>3.4013605442176873</v>
      </c>
      <c r="G75" s="33">
        <f t="shared" si="208"/>
        <v>0</v>
      </c>
      <c r="H75" s="33">
        <f t="shared" si="208"/>
        <v>3.3557046979865772</v>
      </c>
      <c r="I75" s="33">
        <f t="shared" si="208"/>
        <v>5.1282051282051277</v>
      </c>
      <c r="J75" s="33">
        <f t="shared" si="208"/>
        <v>0</v>
      </c>
      <c r="K75" s="33">
        <f t="shared" si="208"/>
        <v>4.8780487804878048</v>
      </c>
      <c r="L75" s="33">
        <f t="shared" si="208"/>
        <v>4.8780487804878048</v>
      </c>
      <c r="M75" s="33">
        <f t="shared" si="208"/>
        <v>0</v>
      </c>
      <c r="N75" s="33">
        <f t="shared" si="208"/>
        <v>4.5454545454545459</v>
      </c>
      <c r="O75" s="33">
        <f t="shared" si="208"/>
        <v>4</v>
      </c>
      <c r="P75" s="33">
        <f t="shared" si="208"/>
        <v>0</v>
      </c>
      <c r="Q75" s="33">
        <f t="shared" si="208"/>
        <v>3.8461538461538463</v>
      </c>
      <c r="R75" s="33">
        <f t="shared" ref="R75:T75" si="209">R91/R96*100</f>
        <v>3.7037037037037033</v>
      </c>
      <c r="S75" s="33">
        <f t="shared" si="209"/>
        <v>0</v>
      </c>
      <c r="T75" s="33">
        <f t="shared" si="209"/>
        <v>3.4013605442176873</v>
      </c>
      <c r="U75" s="33">
        <f t="shared" ref="U75:W75" si="210">U91/U96*100</f>
        <v>4.9019607843137258</v>
      </c>
      <c r="V75" s="33">
        <f t="shared" si="210"/>
        <v>0</v>
      </c>
      <c r="W75" s="33">
        <f t="shared" si="210"/>
        <v>4.5871559633027523</v>
      </c>
      <c r="X75" s="33">
        <f t="shared" ref="X75:Z75" si="211">X91/X96*100</f>
        <v>5.2631578947368416</v>
      </c>
      <c r="Y75" s="33">
        <f t="shared" si="211"/>
        <v>10</v>
      </c>
      <c r="Z75" s="33">
        <f t="shared" si="211"/>
        <v>5.5944055944055942</v>
      </c>
      <c r="AA75" s="33">
        <f t="shared" ref="AA75" si="212">AA91/AA96*100</f>
        <v>0.79365079365079361</v>
      </c>
      <c r="AB75" s="33">
        <f t="shared" ref="AB75:AD75" si="213">AB91/AB96*100</f>
        <v>0</v>
      </c>
      <c r="AC75" s="33">
        <f t="shared" si="213"/>
        <v>0.72992700729927007</v>
      </c>
      <c r="AD75" s="33">
        <f t="shared" si="213"/>
        <v>4.3478260869565215</v>
      </c>
      <c r="AE75" s="33">
        <f t="shared" ref="AE75:AG75" si="214">AE91/AE96*100</f>
        <v>0</v>
      </c>
      <c r="AF75" s="33">
        <f t="shared" si="214"/>
        <v>3.8461538461538463</v>
      </c>
      <c r="AG75" s="33">
        <f t="shared" si="214"/>
        <v>5.9405940594059405</v>
      </c>
      <c r="AH75" s="33">
        <f t="shared" ref="AH75:AI75" si="215">AH91/AH96*100</f>
        <v>0</v>
      </c>
      <c r="AI75" s="33">
        <f t="shared" si="215"/>
        <v>5.7142857142857144</v>
      </c>
    </row>
    <row r="76" spans="2:35" x14ac:dyDescent="0.25">
      <c r="B76" s="2" t="s">
        <v>94</v>
      </c>
      <c r="C76" s="33">
        <f t="shared" ref="C76:Q76" si="216">C92/C96*100</f>
        <v>16.875</v>
      </c>
      <c r="D76" s="33">
        <f t="shared" si="216"/>
        <v>0</v>
      </c>
      <c r="E76" s="33">
        <f t="shared" si="216"/>
        <v>15.976331360946746</v>
      </c>
      <c r="F76" s="33">
        <f t="shared" si="216"/>
        <v>14.965986394557824</v>
      </c>
      <c r="G76" s="33">
        <f t="shared" si="216"/>
        <v>0</v>
      </c>
      <c r="H76" s="33">
        <f t="shared" si="216"/>
        <v>14.76510067114094</v>
      </c>
      <c r="I76" s="33">
        <f t="shared" si="216"/>
        <v>20.512820512820511</v>
      </c>
      <c r="J76" s="33">
        <f t="shared" si="216"/>
        <v>0</v>
      </c>
      <c r="K76" s="33">
        <f t="shared" si="216"/>
        <v>19.512195121951219</v>
      </c>
      <c r="L76" s="33">
        <f t="shared" si="216"/>
        <v>21.138211382113823</v>
      </c>
      <c r="M76" s="33">
        <f t="shared" si="216"/>
        <v>0</v>
      </c>
      <c r="N76" s="33">
        <f t="shared" si="216"/>
        <v>19.696969696969695</v>
      </c>
      <c r="O76" s="33">
        <f t="shared" si="216"/>
        <v>12.8</v>
      </c>
      <c r="P76" s="33">
        <f t="shared" si="216"/>
        <v>0</v>
      </c>
      <c r="Q76" s="33">
        <f t="shared" si="216"/>
        <v>12.307692307692308</v>
      </c>
      <c r="R76" s="33">
        <f t="shared" ref="R76:T76" si="217">R92/R96*100</f>
        <v>16.296296296296298</v>
      </c>
      <c r="S76" s="33">
        <f t="shared" si="217"/>
        <v>0</v>
      </c>
      <c r="T76" s="33">
        <f t="shared" si="217"/>
        <v>14.965986394557824</v>
      </c>
      <c r="U76" s="33">
        <f t="shared" ref="U76:W76" si="218">U92/U96*100</f>
        <v>14.705882352941178</v>
      </c>
      <c r="V76" s="33">
        <f t="shared" si="218"/>
        <v>14.285714285714285</v>
      </c>
      <c r="W76" s="33">
        <f t="shared" si="218"/>
        <v>14.678899082568808</v>
      </c>
      <c r="X76" s="33">
        <f t="shared" ref="X76:Z76" si="219">X92/X96*100</f>
        <v>12.781954887218044</v>
      </c>
      <c r="Y76" s="33">
        <f t="shared" si="219"/>
        <v>0</v>
      </c>
      <c r="Z76" s="33">
        <f t="shared" si="219"/>
        <v>11.888111888111888</v>
      </c>
      <c r="AA76" s="33">
        <f t="shared" ref="AA76" si="220">AA92/AA96*100</f>
        <v>23.015873015873016</v>
      </c>
      <c r="AB76" s="33">
        <f t="shared" ref="AB76:AD76" si="221">AB92/AB96*100</f>
        <v>0</v>
      </c>
      <c r="AC76" s="33">
        <f t="shared" si="221"/>
        <v>21.167883211678831</v>
      </c>
      <c r="AD76" s="33">
        <f t="shared" si="221"/>
        <v>23.478260869565219</v>
      </c>
      <c r="AE76" s="33">
        <f t="shared" ref="AE76:AG76" si="222">AE92/AE96*100</f>
        <v>0</v>
      </c>
      <c r="AF76" s="33">
        <f t="shared" si="222"/>
        <v>20.76923076923077</v>
      </c>
      <c r="AG76" s="33">
        <f t="shared" si="222"/>
        <v>14.85148514851485</v>
      </c>
      <c r="AH76" s="33">
        <f t="shared" ref="AH76:AI76" si="223">AH92/AH96*100</f>
        <v>0</v>
      </c>
      <c r="AI76" s="33">
        <f t="shared" si="223"/>
        <v>14.285714285714285</v>
      </c>
    </row>
    <row r="77" spans="2:35" x14ac:dyDescent="0.25">
      <c r="B77" s="2" t="s">
        <v>95</v>
      </c>
      <c r="C77" s="33">
        <f t="shared" ref="C77:Q77" si="224">C93/C96*100</f>
        <v>5.625</v>
      </c>
      <c r="D77" s="33">
        <f t="shared" si="224"/>
        <v>0</v>
      </c>
      <c r="E77" s="33">
        <f t="shared" si="224"/>
        <v>5.3254437869822491</v>
      </c>
      <c r="F77" s="33">
        <f t="shared" si="224"/>
        <v>6.8027210884353746</v>
      </c>
      <c r="G77" s="33">
        <f t="shared" si="224"/>
        <v>0</v>
      </c>
      <c r="H77" s="33">
        <f t="shared" si="224"/>
        <v>6.7114093959731544</v>
      </c>
      <c r="I77" s="33">
        <f t="shared" si="224"/>
        <v>8.5470085470085468</v>
      </c>
      <c r="J77" s="33">
        <f t="shared" si="224"/>
        <v>0</v>
      </c>
      <c r="K77" s="33">
        <f t="shared" si="224"/>
        <v>8.1300813008130071</v>
      </c>
      <c r="L77" s="33">
        <f t="shared" si="224"/>
        <v>0.81300813008130091</v>
      </c>
      <c r="M77" s="33">
        <f t="shared" si="224"/>
        <v>0</v>
      </c>
      <c r="N77" s="33">
        <f t="shared" si="224"/>
        <v>0.75757575757575757</v>
      </c>
      <c r="O77" s="33">
        <f t="shared" si="224"/>
        <v>0.8</v>
      </c>
      <c r="P77" s="33">
        <f t="shared" si="224"/>
        <v>0</v>
      </c>
      <c r="Q77" s="33">
        <f t="shared" si="224"/>
        <v>0.76923076923076927</v>
      </c>
      <c r="R77" s="33">
        <f t="shared" ref="R77:T77" si="225">R93/R96*100</f>
        <v>0.74074074074074081</v>
      </c>
      <c r="S77" s="33">
        <f t="shared" si="225"/>
        <v>0</v>
      </c>
      <c r="T77" s="33">
        <f t="shared" si="225"/>
        <v>0.68027210884353739</v>
      </c>
      <c r="U77" s="33">
        <f t="shared" ref="U77:W77" si="226">U93/U96*100</f>
        <v>0</v>
      </c>
      <c r="V77" s="33">
        <f t="shared" si="226"/>
        <v>0</v>
      </c>
      <c r="W77" s="33">
        <f t="shared" si="226"/>
        <v>0</v>
      </c>
      <c r="X77" s="33">
        <f t="shared" ref="X77:Z77" si="227">X93/X96*100</f>
        <v>0.75187969924812026</v>
      </c>
      <c r="Y77" s="33">
        <f t="shared" si="227"/>
        <v>0</v>
      </c>
      <c r="Z77" s="33">
        <f t="shared" si="227"/>
        <v>0.69930069930069927</v>
      </c>
      <c r="AA77" s="33">
        <f t="shared" ref="AA77" si="228">AA93/AA96*100</f>
        <v>2.3809523809523809</v>
      </c>
      <c r="AB77" s="33">
        <f t="shared" ref="AB77:AD77" si="229">AB93/AB96*100</f>
        <v>0</v>
      </c>
      <c r="AC77" s="33">
        <f t="shared" si="229"/>
        <v>2.1897810218978102</v>
      </c>
      <c r="AD77" s="33">
        <f t="shared" si="229"/>
        <v>2.6086956521739131</v>
      </c>
      <c r="AE77" s="33">
        <f t="shared" ref="AE77:AG77" si="230">AE93/AE96*100</f>
        <v>0</v>
      </c>
      <c r="AF77" s="33">
        <f t="shared" si="230"/>
        <v>2.3076923076923079</v>
      </c>
      <c r="AG77" s="33">
        <f t="shared" si="230"/>
        <v>0.99009900990099009</v>
      </c>
      <c r="AH77" s="33">
        <f t="shared" ref="AH77:AI77" si="231">AH93/AH96*100</f>
        <v>0</v>
      </c>
      <c r="AI77" s="33">
        <f t="shared" si="231"/>
        <v>0.95238095238095244</v>
      </c>
    </row>
    <row r="78" spans="2:35" x14ac:dyDescent="0.25">
      <c r="B78" s="2" t="s">
        <v>96</v>
      </c>
      <c r="C78" s="33">
        <f t="shared" ref="C78:Q78" si="232">C94/C96*100</f>
        <v>6.8750000000000009</v>
      </c>
      <c r="D78" s="33">
        <f t="shared" si="232"/>
        <v>0</v>
      </c>
      <c r="E78" s="33">
        <f t="shared" si="232"/>
        <v>6.5088757396449708</v>
      </c>
      <c r="F78" s="33">
        <f t="shared" si="232"/>
        <v>10.204081632653061</v>
      </c>
      <c r="G78" s="33">
        <f t="shared" si="232"/>
        <v>0</v>
      </c>
      <c r="H78" s="33">
        <f t="shared" si="232"/>
        <v>10.067114093959731</v>
      </c>
      <c r="I78" s="33">
        <f t="shared" si="232"/>
        <v>4.2735042735042734</v>
      </c>
      <c r="J78" s="33">
        <f t="shared" si="232"/>
        <v>0</v>
      </c>
      <c r="K78" s="33">
        <f t="shared" si="232"/>
        <v>4.0650406504065035</v>
      </c>
      <c r="L78" s="33">
        <f t="shared" si="232"/>
        <v>7.3170731707317067</v>
      </c>
      <c r="M78" s="33">
        <f t="shared" si="232"/>
        <v>11.111111111111111</v>
      </c>
      <c r="N78" s="33">
        <f t="shared" si="232"/>
        <v>7.5757575757575761</v>
      </c>
      <c r="O78" s="33">
        <f t="shared" si="232"/>
        <v>16.8</v>
      </c>
      <c r="P78" s="33">
        <f t="shared" si="232"/>
        <v>20</v>
      </c>
      <c r="Q78" s="33">
        <f t="shared" si="232"/>
        <v>16.923076923076923</v>
      </c>
      <c r="R78" s="33">
        <f t="shared" ref="R78:T78" si="233">R94/R96*100</f>
        <v>17.037037037037038</v>
      </c>
      <c r="S78" s="33">
        <f t="shared" si="233"/>
        <v>25</v>
      </c>
      <c r="T78" s="33">
        <f t="shared" si="233"/>
        <v>17.687074829931973</v>
      </c>
      <c r="U78" s="33">
        <f t="shared" ref="U78:W78" si="234">U94/U96*100</f>
        <v>7.8431372549019605</v>
      </c>
      <c r="V78" s="33">
        <f t="shared" si="234"/>
        <v>0</v>
      </c>
      <c r="W78" s="33">
        <f t="shared" si="234"/>
        <v>7.3394495412844041</v>
      </c>
      <c r="X78" s="33">
        <f t="shared" ref="X78:Z78" si="235">X94/X96*100</f>
        <v>7.518796992481203</v>
      </c>
      <c r="Y78" s="33">
        <f t="shared" si="235"/>
        <v>10</v>
      </c>
      <c r="Z78" s="33">
        <f t="shared" si="235"/>
        <v>7.6923076923076925</v>
      </c>
      <c r="AA78" s="33">
        <f t="shared" ref="AA78" si="236">AA94/AA96*100</f>
        <v>7.9365079365079358</v>
      </c>
      <c r="AB78" s="33">
        <f t="shared" ref="AB78:AD78" si="237">AB94/AB96*100</f>
        <v>0</v>
      </c>
      <c r="AC78" s="33">
        <f t="shared" si="237"/>
        <v>7.2992700729926998</v>
      </c>
      <c r="AD78" s="33">
        <f t="shared" si="237"/>
        <v>10.434782608695652</v>
      </c>
      <c r="AE78" s="33">
        <f t="shared" ref="AE78:AG78" si="238">AE94/AE96*100</f>
        <v>20</v>
      </c>
      <c r="AF78" s="33">
        <f t="shared" si="238"/>
        <v>11.538461538461538</v>
      </c>
      <c r="AG78" s="33">
        <f t="shared" si="238"/>
        <v>1.9801980198019802</v>
      </c>
      <c r="AH78" s="33">
        <f t="shared" ref="AH78:AI78" si="239">AH94/AH96*100</f>
        <v>0</v>
      </c>
      <c r="AI78" s="33">
        <f t="shared" si="239"/>
        <v>1.9047619047619049</v>
      </c>
    </row>
    <row r="79" spans="2:35" x14ac:dyDescent="0.25">
      <c r="B79" s="2" t="s">
        <v>97</v>
      </c>
      <c r="C79" s="33">
        <f t="shared" ref="C79:Q79" si="240">C95/C96*100</f>
        <v>1.875</v>
      </c>
      <c r="D79" s="33">
        <f t="shared" si="240"/>
        <v>22.222222222222221</v>
      </c>
      <c r="E79" s="33">
        <f t="shared" si="240"/>
        <v>2.9585798816568047</v>
      </c>
      <c r="F79" s="33">
        <f t="shared" si="240"/>
        <v>1.3605442176870748</v>
      </c>
      <c r="G79" s="33">
        <f t="shared" si="240"/>
        <v>0</v>
      </c>
      <c r="H79" s="33">
        <f t="shared" si="240"/>
        <v>1.3422818791946309</v>
      </c>
      <c r="I79" s="33">
        <f t="shared" si="240"/>
        <v>5.1282051282051277</v>
      </c>
      <c r="J79" s="33">
        <f t="shared" si="240"/>
        <v>16.666666666666664</v>
      </c>
      <c r="K79" s="33">
        <f t="shared" si="240"/>
        <v>5.6910569105691051</v>
      </c>
      <c r="L79" s="33">
        <f t="shared" si="240"/>
        <v>1.6260162601626018</v>
      </c>
      <c r="M79" s="33">
        <f t="shared" si="240"/>
        <v>11.111111111111111</v>
      </c>
      <c r="N79" s="33">
        <f t="shared" si="240"/>
        <v>2.2727272727272729</v>
      </c>
      <c r="O79" s="33">
        <f t="shared" si="240"/>
        <v>2.4</v>
      </c>
      <c r="P79" s="33">
        <f t="shared" si="240"/>
        <v>0</v>
      </c>
      <c r="Q79" s="33">
        <f t="shared" si="240"/>
        <v>2.3076923076923079</v>
      </c>
      <c r="R79" s="33">
        <f t="shared" ref="R79:T79" si="241">R95/R96*100</f>
        <v>1.4814814814814816</v>
      </c>
      <c r="S79" s="33">
        <f t="shared" si="241"/>
        <v>0</v>
      </c>
      <c r="T79" s="33">
        <f t="shared" si="241"/>
        <v>1.3605442176870748</v>
      </c>
      <c r="U79" s="33">
        <f t="shared" ref="U79:W79" si="242">U95/U96*100</f>
        <v>1.9607843137254901</v>
      </c>
      <c r="V79" s="33">
        <f t="shared" si="242"/>
        <v>14.285714285714285</v>
      </c>
      <c r="W79" s="33">
        <f t="shared" si="242"/>
        <v>2.7522935779816518</v>
      </c>
      <c r="X79" s="33">
        <f t="shared" ref="X79:Z79" si="243">X95/X96*100</f>
        <v>6.0150375939849621</v>
      </c>
      <c r="Y79" s="33">
        <f t="shared" si="243"/>
        <v>10</v>
      </c>
      <c r="Z79" s="33">
        <f t="shared" si="243"/>
        <v>6.2937062937062942</v>
      </c>
      <c r="AA79" s="33">
        <f t="shared" ref="AA79" si="244">AA95/AA96*100</f>
        <v>1.5873015873015872</v>
      </c>
      <c r="AB79" s="33">
        <f t="shared" ref="AB79:AD79" si="245">AB95/AB96*100</f>
        <v>9.0909090909090917</v>
      </c>
      <c r="AC79" s="33">
        <f t="shared" si="245"/>
        <v>2.1897810218978102</v>
      </c>
      <c r="AD79" s="33">
        <f t="shared" si="245"/>
        <v>1.7391304347826086</v>
      </c>
      <c r="AE79" s="33">
        <f t="shared" ref="AE79:AG79" si="246">AE95/AE96*100</f>
        <v>13.333333333333334</v>
      </c>
      <c r="AF79" s="33">
        <f t="shared" si="246"/>
        <v>3.0769230769230771</v>
      </c>
      <c r="AG79" s="33">
        <f t="shared" si="246"/>
        <v>2.9702970297029703</v>
      </c>
      <c r="AH79" s="33">
        <f t="shared" ref="AH79:AI79" si="247">AH95/AH96*100</f>
        <v>0</v>
      </c>
      <c r="AI79" s="33">
        <f t="shared" si="247"/>
        <v>2.8571428571428572</v>
      </c>
    </row>
    <row r="80" spans="2:35" x14ac:dyDescent="0.25">
      <c r="B80" s="14" t="s">
        <v>98</v>
      </c>
      <c r="C80" s="88">
        <f t="shared" ref="C80:P80" si="248">SUM(C71:C79)</f>
        <v>100</v>
      </c>
      <c r="D80" s="88">
        <f t="shared" si="248"/>
        <v>100</v>
      </c>
      <c r="E80" s="88">
        <f t="shared" si="248"/>
        <v>100.00000000000001</v>
      </c>
      <c r="F80" s="88">
        <f t="shared" si="248"/>
        <v>100</v>
      </c>
      <c r="G80" s="88">
        <f t="shared" si="248"/>
        <v>100</v>
      </c>
      <c r="H80" s="88">
        <f t="shared" si="248"/>
        <v>100</v>
      </c>
      <c r="I80" s="88">
        <f t="shared" si="248"/>
        <v>99.999999999999986</v>
      </c>
      <c r="J80" s="88">
        <f t="shared" si="248"/>
        <v>99.999999999999972</v>
      </c>
      <c r="K80" s="88">
        <f t="shared" si="248"/>
        <v>99.999999999999986</v>
      </c>
      <c r="L80" s="88">
        <f t="shared" si="248"/>
        <v>100</v>
      </c>
      <c r="M80" s="88">
        <f t="shared" si="248"/>
        <v>100</v>
      </c>
      <c r="N80" s="88">
        <f>SUM(N71:N79)</f>
        <v>100</v>
      </c>
      <c r="O80" s="88">
        <f t="shared" si="248"/>
        <v>99.999999999999986</v>
      </c>
      <c r="P80" s="88">
        <f t="shared" si="248"/>
        <v>100</v>
      </c>
      <c r="Q80" s="88">
        <f>SUM(Q71:Q79)</f>
        <v>100</v>
      </c>
      <c r="R80" s="88">
        <f t="shared" ref="R80:S80" si="249">SUM(R71:R79)</f>
        <v>100</v>
      </c>
      <c r="S80" s="88">
        <f t="shared" si="249"/>
        <v>100</v>
      </c>
      <c r="T80" s="88">
        <f>SUM(T71:T79)</f>
        <v>100</v>
      </c>
      <c r="U80" s="88">
        <f t="shared" ref="U80:V80" si="250">SUM(U71:U79)</f>
        <v>100</v>
      </c>
      <c r="V80" s="88">
        <f t="shared" si="250"/>
        <v>99.999999999999972</v>
      </c>
      <c r="W80" s="88">
        <f>SUM(W71:W79)</f>
        <v>100</v>
      </c>
      <c r="X80" s="88">
        <f t="shared" ref="X80:Y80" si="251">SUM(X71:X79)</f>
        <v>99.999999999999986</v>
      </c>
      <c r="Y80" s="88">
        <f t="shared" si="251"/>
        <v>100</v>
      </c>
      <c r="Z80" s="88">
        <f>SUM(Z71:Z79)</f>
        <v>100.00000000000001</v>
      </c>
      <c r="AA80" s="88">
        <f t="shared" ref="AA80:AB80" si="252">SUM(AA71:AA79)</f>
        <v>100</v>
      </c>
      <c r="AB80" s="88">
        <f t="shared" si="252"/>
        <v>100.00000000000001</v>
      </c>
      <c r="AC80" s="88">
        <f>SUM(AC71:AC79)</f>
        <v>100</v>
      </c>
      <c r="AD80" s="88">
        <f t="shared" ref="AD80:AE80" si="253">SUM(AD71:AD79)</f>
        <v>100</v>
      </c>
      <c r="AE80" s="88">
        <f t="shared" si="253"/>
        <v>100</v>
      </c>
      <c r="AF80" s="88">
        <f>SUM(AF71:AF79)</f>
        <v>100</v>
      </c>
      <c r="AG80" s="88">
        <f t="shared" ref="AG80:AH80" si="254">SUM(AG71:AG79)</f>
        <v>100</v>
      </c>
      <c r="AH80" s="88">
        <f t="shared" si="254"/>
        <v>100</v>
      </c>
      <c r="AI80" s="88">
        <f>SUM(AI71:AI79)</f>
        <v>99.999999999999986</v>
      </c>
    </row>
    <row r="81" spans="2:35" x14ac:dyDescent="0.25">
      <c r="B81" s="2" t="s">
        <v>99</v>
      </c>
      <c r="C81" s="34">
        <f>C96</f>
        <v>160</v>
      </c>
      <c r="D81" s="33">
        <f t="shared" ref="D81:Q81" si="255">D96</f>
        <v>9</v>
      </c>
      <c r="E81" s="34">
        <f t="shared" si="255"/>
        <v>169</v>
      </c>
      <c r="F81" s="34">
        <f t="shared" si="255"/>
        <v>147</v>
      </c>
      <c r="G81" s="33">
        <f t="shared" si="255"/>
        <v>2</v>
      </c>
      <c r="H81" s="34">
        <f t="shared" si="255"/>
        <v>149</v>
      </c>
      <c r="I81" s="34">
        <f t="shared" si="255"/>
        <v>117</v>
      </c>
      <c r="J81" s="33">
        <f t="shared" si="255"/>
        <v>6</v>
      </c>
      <c r="K81" s="34">
        <f t="shared" si="255"/>
        <v>123</v>
      </c>
      <c r="L81" s="34">
        <f t="shared" si="255"/>
        <v>123</v>
      </c>
      <c r="M81" s="33">
        <f t="shared" si="255"/>
        <v>9</v>
      </c>
      <c r="N81" s="34">
        <f t="shared" si="255"/>
        <v>132</v>
      </c>
      <c r="O81" s="34">
        <f t="shared" si="255"/>
        <v>125</v>
      </c>
      <c r="P81" s="33">
        <f t="shared" si="255"/>
        <v>5</v>
      </c>
      <c r="Q81" s="34">
        <f t="shared" si="255"/>
        <v>130</v>
      </c>
      <c r="R81" s="34">
        <f>R96</f>
        <v>135</v>
      </c>
      <c r="S81" s="33">
        <f t="shared" ref="S81:T81" si="256">S96</f>
        <v>12</v>
      </c>
      <c r="T81" s="34">
        <f t="shared" si="256"/>
        <v>147</v>
      </c>
      <c r="U81" s="34">
        <f>U96</f>
        <v>102</v>
      </c>
      <c r="V81" s="33">
        <f t="shared" ref="V81:W81" si="257">V96</f>
        <v>7</v>
      </c>
      <c r="W81" s="34">
        <f t="shared" si="257"/>
        <v>109</v>
      </c>
      <c r="X81" s="34">
        <f>X96</f>
        <v>133</v>
      </c>
      <c r="Y81" s="33">
        <f t="shared" ref="Y81:Z81" si="258">Y96</f>
        <v>10</v>
      </c>
      <c r="Z81" s="34">
        <f t="shared" si="258"/>
        <v>143</v>
      </c>
      <c r="AA81" s="34">
        <f>AA96</f>
        <v>126</v>
      </c>
      <c r="AB81" s="33">
        <f t="shared" ref="AB81:AC81" si="259">AB96</f>
        <v>11</v>
      </c>
      <c r="AC81" s="34">
        <f t="shared" si="259"/>
        <v>137</v>
      </c>
      <c r="AD81" s="34">
        <f>AD96</f>
        <v>115</v>
      </c>
      <c r="AE81" s="33">
        <f t="shared" ref="AE81:AF81" si="260">AE96</f>
        <v>15</v>
      </c>
      <c r="AF81" s="34">
        <f t="shared" si="260"/>
        <v>130</v>
      </c>
      <c r="AG81" s="34">
        <f>AG96</f>
        <v>101</v>
      </c>
      <c r="AH81" s="33">
        <f t="shared" ref="AH81:AI81" si="261">AH96</f>
        <v>4</v>
      </c>
      <c r="AI81" s="34">
        <f t="shared" si="261"/>
        <v>105</v>
      </c>
    </row>
    <row r="82" spans="2:35" x14ac:dyDescent="0.25">
      <c r="B82" s="22"/>
      <c r="C82" s="3"/>
      <c r="D82" s="3"/>
      <c r="E82" s="3"/>
      <c r="F82" s="3"/>
      <c r="G82" s="3"/>
      <c r="H82" s="3"/>
      <c r="I82" s="3"/>
      <c r="J82" s="3"/>
      <c r="K82" s="3"/>
      <c r="L82" s="3"/>
      <c r="M82" s="3"/>
      <c r="N82" s="3"/>
    </row>
    <row r="83" spans="2:35" x14ac:dyDescent="0.25">
      <c r="B83" s="65" t="s">
        <v>290</v>
      </c>
      <c r="C83" s="3"/>
      <c r="D83" s="3"/>
      <c r="E83" s="3"/>
      <c r="F83" s="3"/>
      <c r="G83" s="3"/>
      <c r="H83" s="3"/>
      <c r="I83" s="3"/>
      <c r="J83" s="3"/>
      <c r="K83" s="3"/>
      <c r="L83" s="3"/>
      <c r="M83" s="3"/>
      <c r="N83" s="3"/>
    </row>
    <row r="84" spans="2:35" x14ac:dyDescent="0.25">
      <c r="B84" s="11"/>
      <c r="C84" s="3"/>
      <c r="D84" s="3"/>
      <c r="E84" s="3"/>
      <c r="F84" s="3"/>
      <c r="G84" s="3"/>
      <c r="H84" s="3"/>
      <c r="I84" s="3"/>
      <c r="J84" s="3"/>
      <c r="K84" s="3"/>
      <c r="L84" s="3"/>
      <c r="M84" s="3"/>
      <c r="N84" s="3"/>
    </row>
    <row r="85" spans="2:35" x14ac:dyDescent="0.25">
      <c r="B85" s="11"/>
      <c r="C85" s="3"/>
      <c r="D85" s="3"/>
      <c r="E85" s="3"/>
      <c r="F85" s="3"/>
      <c r="G85" s="3"/>
      <c r="H85" s="3"/>
      <c r="I85" s="3"/>
      <c r="J85" s="3"/>
      <c r="K85" s="3"/>
      <c r="L85" s="3"/>
      <c r="M85" s="3"/>
      <c r="N85" s="3"/>
    </row>
    <row r="86" spans="2:35" x14ac:dyDescent="0.25">
      <c r="B86" s="32" t="s">
        <v>102</v>
      </c>
      <c r="C86" s="3"/>
      <c r="D86" s="3"/>
      <c r="E86" s="3"/>
      <c r="F86" s="3"/>
      <c r="G86" s="3"/>
      <c r="H86" s="3"/>
      <c r="I86" s="3"/>
      <c r="J86" s="3"/>
      <c r="K86" s="3"/>
      <c r="L86" s="3"/>
      <c r="M86" s="3"/>
      <c r="N86" s="3"/>
    </row>
    <row r="87" spans="2:35" x14ac:dyDescent="0.25">
      <c r="B87" s="2" t="s">
        <v>89</v>
      </c>
      <c r="C87" s="33">
        <v>18</v>
      </c>
      <c r="D87" s="33">
        <v>0</v>
      </c>
      <c r="E87" s="33">
        <f>C87+D87</f>
        <v>18</v>
      </c>
      <c r="F87" s="33">
        <v>17</v>
      </c>
      <c r="G87" s="33">
        <v>0</v>
      </c>
      <c r="H87" s="33">
        <f>F87+G87</f>
        <v>17</v>
      </c>
      <c r="I87" s="33">
        <v>14</v>
      </c>
      <c r="J87" s="33">
        <v>1</v>
      </c>
      <c r="K87" s="33">
        <f>I87+J87</f>
        <v>15</v>
      </c>
      <c r="L87" s="33">
        <v>12</v>
      </c>
      <c r="M87" s="33">
        <v>1</v>
      </c>
      <c r="N87" s="33">
        <f>L87+M87</f>
        <v>13</v>
      </c>
      <c r="O87" s="33">
        <v>12</v>
      </c>
      <c r="P87" s="33">
        <v>1</v>
      </c>
      <c r="Q87" s="69">
        <f>SUM(O87:P87)</f>
        <v>13</v>
      </c>
      <c r="R87" s="33">
        <v>15</v>
      </c>
      <c r="S87" s="33">
        <v>2</v>
      </c>
      <c r="T87" s="69">
        <f>SUM(R87:S87)</f>
        <v>17</v>
      </c>
      <c r="U87" s="33">
        <v>14</v>
      </c>
      <c r="V87" s="33">
        <v>3</v>
      </c>
      <c r="W87" s="33">
        <f>SUM(U87:V87)</f>
        <v>17</v>
      </c>
      <c r="X87" s="33">
        <v>14</v>
      </c>
      <c r="Y87" s="33">
        <v>1</v>
      </c>
      <c r="Z87" s="33">
        <f>SUM(X87:Y87)</f>
        <v>15</v>
      </c>
      <c r="AA87" s="33">
        <v>12</v>
      </c>
      <c r="AB87" s="33">
        <v>1</v>
      </c>
      <c r="AC87" s="33">
        <f>SUM(AA87:AB87)</f>
        <v>13</v>
      </c>
      <c r="AD87" s="33">
        <v>19</v>
      </c>
      <c r="AE87" s="33">
        <v>1</v>
      </c>
      <c r="AF87" s="33">
        <f>SUM(AD87:AE87)</f>
        <v>20</v>
      </c>
      <c r="AG87" s="33">
        <v>17</v>
      </c>
      <c r="AH87" s="33">
        <v>0</v>
      </c>
      <c r="AI87" s="33">
        <f>SUM(AG87:AH87)</f>
        <v>17</v>
      </c>
    </row>
    <row r="88" spans="2:35" x14ac:dyDescent="0.25">
      <c r="B88" s="2" t="s">
        <v>90</v>
      </c>
      <c r="C88" s="33">
        <v>24</v>
      </c>
      <c r="D88" s="33">
        <v>1</v>
      </c>
      <c r="E88" s="33">
        <f t="shared" ref="E88:E95" si="262">C88+D88</f>
        <v>25</v>
      </c>
      <c r="F88" s="33">
        <v>26</v>
      </c>
      <c r="G88" s="33">
        <v>0</v>
      </c>
      <c r="H88" s="33">
        <f t="shared" ref="H88:H95" si="263">F88+G88</f>
        <v>26</v>
      </c>
      <c r="I88" s="33">
        <v>17</v>
      </c>
      <c r="J88" s="33">
        <v>0</v>
      </c>
      <c r="K88" s="33">
        <f t="shared" ref="K88:K95" si="264">I88+J88</f>
        <v>17</v>
      </c>
      <c r="L88" s="33">
        <v>22</v>
      </c>
      <c r="M88" s="33">
        <v>0</v>
      </c>
      <c r="N88" s="33">
        <f t="shared" ref="N88:N95" si="265">L88+M88</f>
        <v>22</v>
      </c>
      <c r="O88" s="33">
        <v>17</v>
      </c>
      <c r="P88" s="33">
        <v>0</v>
      </c>
      <c r="Q88" s="69">
        <f t="shared" ref="Q88:Q96" si="266">SUM(O88:P88)</f>
        <v>17</v>
      </c>
      <c r="R88" s="33">
        <v>16</v>
      </c>
      <c r="S88" s="33">
        <v>0</v>
      </c>
      <c r="T88" s="69">
        <f t="shared" ref="T88:T96" si="267">SUM(R88:S88)</f>
        <v>16</v>
      </c>
      <c r="U88" s="33">
        <v>10</v>
      </c>
      <c r="V88" s="33">
        <v>0</v>
      </c>
      <c r="W88" s="33">
        <f t="shared" ref="W88:W95" si="268">SUM(U88:V88)</f>
        <v>10</v>
      </c>
      <c r="X88" s="33">
        <v>13</v>
      </c>
      <c r="Y88" s="33">
        <v>1</v>
      </c>
      <c r="Z88" s="33">
        <f t="shared" ref="Z88:Z96" si="269">SUM(X88:Y88)</f>
        <v>14</v>
      </c>
      <c r="AA88" s="33">
        <v>16</v>
      </c>
      <c r="AB88" s="33">
        <v>0</v>
      </c>
      <c r="AC88" s="33">
        <f t="shared" ref="AC88:AC96" si="270">SUM(AA88:AB88)</f>
        <v>16</v>
      </c>
      <c r="AD88" s="33">
        <v>12</v>
      </c>
      <c r="AE88" s="33">
        <v>0</v>
      </c>
      <c r="AF88" s="33">
        <f>SUM(AD88:AE88)</f>
        <v>12</v>
      </c>
      <c r="AG88" s="33">
        <v>10</v>
      </c>
      <c r="AH88" s="33">
        <v>0</v>
      </c>
      <c r="AI88" s="33">
        <f>SUM(AG88:AH88)</f>
        <v>10</v>
      </c>
    </row>
    <row r="89" spans="2:35" x14ac:dyDescent="0.25">
      <c r="B89" s="2" t="s">
        <v>91</v>
      </c>
      <c r="C89" s="33">
        <v>50</v>
      </c>
      <c r="D89" s="33">
        <v>3</v>
      </c>
      <c r="E89" s="33">
        <f t="shared" si="262"/>
        <v>53</v>
      </c>
      <c r="F89" s="33">
        <v>41</v>
      </c>
      <c r="G89" s="33">
        <v>1</v>
      </c>
      <c r="H89" s="33">
        <f t="shared" si="263"/>
        <v>42</v>
      </c>
      <c r="I89" s="33">
        <v>29</v>
      </c>
      <c r="J89" s="33">
        <v>4</v>
      </c>
      <c r="K89" s="33">
        <f t="shared" si="264"/>
        <v>33</v>
      </c>
      <c r="L89" s="33">
        <v>37</v>
      </c>
      <c r="M89" s="33">
        <v>4</v>
      </c>
      <c r="N89" s="33">
        <f t="shared" si="265"/>
        <v>41</v>
      </c>
      <c r="O89" s="33">
        <v>37</v>
      </c>
      <c r="P89" s="33">
        <v>2</v>
      </c>
      <c r="Q89" s="69">
        <f t="shared" si="266"/>
        <v>39</v>
      </c>
      <c r="R89" s="33">
        <v>39</v>
      </c>
      <c r="S89" s="33">
        <v>5</v>
      </c>
      <c r="T89" s="69">
        <f t="shared" si="267"/>
        <v>44</v>
      </c>
      <c r="U89" s="33">
        <v>40</v>
      </c>
      <c r="V89" s="33">
        <v>2</v>
      </c>
      <c r="W89" s="33">
        <f t="shared" si="268"/>
        <v>42</v>
      </c>
      <c r="X89" s="33">
        <v>56</v>
      </c>
      <c r="Y89" s="33">
        <v>4</v>
      </c>
      <c r="Z89" s="33">
        <f t="shared" si="269"/>
        <v>60</v>
      </c>
      <c r="AA89" s="33">
        <v>45</v>
      </c>
      <c r="AB89" s="33">
        <v>9</v>
      </c>
      <c r="AC89" s="33">
        <f t="shared" si="270"/>
        <v>54</v>
      </c>
      <c r="AD89" s="33">
        <v>28</v>
      </c>
      <c r="AE89" s="33">
        <v>9</v>
      </c>
      <c r="AF89" s="33">
        <f t="shared" ref="AF89:AF96" si="271">SUM(AD89:AE89)</f>
        <v>37</v>
      </c>
      <c r="AG89" s="33">
        <v>42</v>
      </c>
      <c r="AH89" s="33">
        <v>3</v>
      </c>
      <c r="AI89" s="33">
        <f t="shared" ref="AI89:AI96" si="272">SUM(AG89:AH89)</f>
        <v>45</v>
      </c>
    </row>
    <row r="90" spans="2:35" x14ac:dyDescent="0.25">
      <c r="B90" s="2" t="s">
        <v>92</v>
      </c>
      <c r="C90" s="33">
        <v>11</v>
      </c>
      <c r="D90" s="33">
        <v>3</v>
      </c>
      <c r="E90" s="33">
        <f t="shared" si="262"/>
        <v>14</v>
      </c>
      <c r="F90" s="33">
        <v>9</v>
      </c>
      <c r="G90" s="33">
        <v>1</v>
      </c>
      <c r="H90" s="33">
        <f t="shared" si="263"/>
        <v>10</v>
      </c>
      <c r="I90" s="33">
        <v>6</v>
      </c>
      <c r="J90" s="33">
        <v>0</v>
      </c>
      <c r="K90" s="33">
        <f t="shared" si="264"/>
        <v>6</v>
      </c>
      <c r="L90" s="33">
        <v>8</v>
      </c>
      <c r="M90" s="33">
        <v>2</v>
      </c>
      <c r="N90" s="33">
        <f t="shared" si="265"/>
        <v>10</v>
      </c>
      <c r="O90" s="33">
        <v>13</v>
      </c>
      <c r="P90" s="33">
        <v>1</v>
      </c>
      <c r="Q90" s="69">
        <f t="shared" si="266"/>
        <v>14</v>
      </c>
      <c r="R90" s="33">
        <v>12</v>
      </c>
      <c r="S90" s="33">
        <v>2</v>
      </c>
      <c r="T90" s="69">
        <f t="shared" si="267"/>
        <v>14</v>
      </c>
      <c r="U90" s="33">
        <v>8</v>
      </c>
      <c r="V90" s="33">
        <v>0</v>
      </c>
      <c r="W90" s="33">
        <f t="shared" si="268"/>
        <v>8</v>
      </c>
      <c r="X90" s="33">
        <v>7</v>
      </c>
      <c r="Y90" s="33">
        <v>1</v>
      </c>
      <c r="Z90" s="33">
        <f t="shared" si="269"/>
        <v>8</v>
      </c>
      <c r="AA90" s="33">
        <v>8</v>
      </c>
      <c r="AB90" s="33">
        <v>0</v>
      </c>
      <c r="AC90" s="33">
        <f t="shared" si="270"/>
        <v>8</v>
      </c>
      <c r="AD90" s="33">
        <v>7</v>
      </c>
      <c r="AE90" s="33">
        <v>0</v>
      </c>
      <c r="AF90" s="33">
        <f t="shared" si="271"/>
        <v>7</v>
      </c>
      <c r="AG90" s="33">
        <v>5</v>
      </c>
      <c r="AH90" s="33">
        <v>1</v>
      </c>
      <c r="AI90" s="33">
        <f t="shared" si="272"/>
        <v>6</v>
      </c>
    </row>
    <row r="91" spans="2:35" x14ac:dyDescent="0.25">
      <c r="B91" s="2" t="s">
        <v>93</v>
      </c>
      <c r="C91" s="33">
        <v>7</v>
      </c>
      <c r="D91" s="33">
        <v>0</v>
      </c>
      <c r="E91" s="33">
        <f t="shared" si="262"/>
        <v>7</v>
      </c>
      <c r="F91" s="33">
        <v>5</v>
      </c>
      <c r="G91" s="33">
        <v>0</v>
      </c>
      <c r="H91" s="33">
        <f t="shared" si="263"/>
        <v>5</v>
      </c>
      <c r="I91" s="33">
        <v>6</v>
      </c>
      <c r="J91" s="33">
        <v>0</v>
      </c>
      <c r="K91" s="33">
        <f t="shared" si="264"/>
        <v>6</v>
      </c>
      <c r="L91" s="33">
        <v>6</v>
      </c>
      <c r="M91" s="33">
        <v>0</v>
      </c>
      <c r="N91" s="33">
        <f t="shared" si="265"/>
        <v>6</v>
      </c>
      <c r="O91" s="33">
        <v>5</v>
      </c>
      <c r="P91" s="33">
        <v>0</v>
      </c>
      <c r="Q91" s="69">
        <f t="shared" si="266"/>
        <v>5</v>
      </c>
      <c r="R91" s="33">
        <v>5</v>
      </c>
      <c r="S91" s="33">
        <v>0</v>
      </c>
      <c r="T91" s="69">
        <f t="shared" si="267"/>
        <v>5</v>
      </c>
      <c r="U91" s="33">
        <v>5</v>
      </c>
      <c r="V91" s="33">
        <v>0</v>
      </c>
      <c r="W91" s="33">
        <f t="shared" si="268"/>
        <v>5</v>
      </c>
      <c r="X91" s="33">
        <v>7</v>
      </c>
      <c r="Y91" s="33">
        <v>1</v>
      </c>
      <c r="Z91" s="33">
        <f t="shared" si="269"/>
        <v>8</v>
      </c>
      <c r="AA91" s="33">
        <v>1</v>
      </c>
      <c r="AB91" s="33">
        <v>0</v>
      </c>
      <c r="AC91" s="33">
        <f t="shared" si="270"/>
        <v>1</v>
      </c>
      <c r="AD91" s="33">
        <v>5</v>
      </c>
      <c r="AE91" s="33">
        <v>0</v>
      </c>
      <c r="AF91" s="33">
        <f t="shared" si="271"/>
        <v>5</v>
      </c>
      <c r="AG91" s="33">
        <v>6</v>
      </c>
      <c r="AH91" s="33">
        <v>0</v>
      </c>
      <c r="AI91" s="33">
        <f t="shared" si="272"/>
        <v>6</v>
      </c>
    </row>
    <row r="92" spans="2:35" x14ac:dyDescent="0.25">
      <c r="B92" s="2" t="s">
        <v>94</v>
      </c>
      <c r="C92" s="33">
        <v>27</v>
      </c>
      <c r="D92" s="33">
        <v>0</v>
      </c>
      <c r="E92" s="33">
        <f t="shared" si="262"/>
        <v>27</v>
      </c>
      <c r="F92" s="33">
        <v>22</v>
      </c>
      <c r="G92" s="33">
        <v>0</v>
      </c>
      <c r="H92" s="33">
        <f t="shared" si="263"/>
        <v>22</v>
      </c>
      <c r="I92" s="33">
        <v>24</v>
      </c>
      <c r="J92" s="33">
        <v>0</v>
      </c>
      <c r="K92" s="33">
        <f t="shared" si="264"/>
        <v>24</v>
      </c>
      <c r="L92" s="33">
        <v>26</v>
      </c>
      <c r="M92" s="33">
        <v>0</v>
      </c>
      <c r="N92" s="33">
        <f t="shared" si="265"/>
        <v>26</v>
      </c>
      <c r="O92" s="33">
        <v>16</v>
      </c>
      <c r="P92" s="33">
        <v>0</v>
      </c>
      <c r="Q92" s="69">
        <f t="shared" si="266"/>
        <v>16</v>
      </c>
      <c r="R92" s="33">
        <v>22</v>
      </c>
      <c r="S92" s="33">
        <v>0</v>
      </c>
      <c r="T92" s="69">
        <f t="shared" si="267"/>
        <v>22</v>
      </c>
      <c r="U92" s="33">
        <v>15</v>
      </c>
      <c r="V92" s="33">
        <v>1</v>
      </c>
      <c r="W92" s="33">
        <f t="shared" si="268"/>
        <v>16</v>
      </c>
      <c r="X92" s="33">
        <v>17</v>
      </c>
      <c r="Y92" s="33">
        <v>0</v>
      </c>
      <c r="Z92" s="33">
        <f t="shared" si="269"/>
        <v>17</v>
      </c>
      <c r="AA92" s="33">
        <v>29</v>
      </c>
      <c r="AB92" s="33">
        <v>0</v>
      </c>
      <c r="AC92" s="33">
        <f t="shared" si="270"/>
        <v>29</v>
      </c>
      <c r="AD92" s="33">
        <v>27</v>
      </c>
      <c r="AE92" s="33">
        <v>0</v>
      </c>
      <c r="AF92" s="33">
        <f t="shared" si="271"/>
        <v>27</v>
      </c>
      <c r="AG92" s="33">
        <v>15</v>
      </c>
      <c r="AH92" s="33">
        <v>0</v>
      </c>
      <c r="AI92" s="33">
        <f t="shared" si="272"/>
        <v>15</v>
      </c>
    </row>
    <row r="93" spans="2:35" x14ac:dyDescent="0.25">
      <c r="B93" s="2" t="s">
        <v>95</v>
      </c>
      <c r="C93" s="33">
        <v>9</v>
      </c>
      <c r="D93" s="33">
        <v>0</v>
      </c>
      <c r="E93" s="33">
        <f t="shared" si="262"/>
        <v>9</v>
      </c>
      <c r="F93" s="33">
        <v>10</v>
      </c>
      <c r="G93" s="33">
        <v>0</v>
      </c>
      <c r="H93" s="33">
        <f t="shared" si="263"/>
        <v>10</v>
      </c>
      <c r="I93" s="33">
        <v>10</v>
      </c>
      <c r="J93" s="33">
        <v>0</v>
      </c>
      <c r="K93" s="33">
        <f t="shared" si="264"/>
        <v>10</v>
      </c>
      <c r="L93" s="33">
        <v>1</v>
      </c>
      <c r="M93" s="33">
        <v>0</v>
      </c>
      <c r="N93" s="33">
        <f t="shared" si="265"/>
        <v>1</v>
      </c>
      <c r="O93" s="33">
        <v>1</v>
      </c>
      <c r="P93" s="33">
        <v>0</v>
      </c>
      <c r="Q93" s="69">
        <f t="shared" si="266"/>
        <v>1</v>
      </c>
      <c r="R93" s="33">
        <v>1</v>
      </c>
      <c r="S93" s="33">
        <v>0</v>
      </c>
      <c r="T93" s="69">
        <f t="shared" si="267"/>
        <v>1</v>
      </c>
      <c r="U93" s="33">
        <v>0</v>
      </c>
      <c r="V93" s="33">
        <v>0</v>
      </c>
      <c r="W93" s="33">
        <f t="shared" si="268"/>
        <v>0</v>
      </c>
      <c r="X93" s="33">
        <v>1</v>
      </c>
      <c r="Y93" s="33">
        <v>0</v>
      </c>
      <c r="Z93" s="33">
        <f t="shared" si="269"/>
        <v>1</v>
      </c>
      <c r="AA93" s="33">
        <v>3</v>
      </c>
      <c r="AB93" s="33">
        <v>0</v>
      </c>
      <c r="AC93" s="33">
        <f t="shared" si="270"/>
        <v>3</v>
      </c>
      <c r="AD93" s="33">
        <v>3</v>
      </c>
      <c r="AE93" s="33">
        <v>0</v>
      </c>
      <c r="AF93" s="33">
        <f t="shared" si="271"/>
        <v>3</v>
      </c>
      <c r="AG93" s="33">
        <v>1</v>
      </c>
      <c r="AH93" s="33">
        <v>0</v>
      </c>
      <c r="AI93" s="33">
        <f t="shared" si="272"/>
        <v>1</v>
      </c>
    </row>
    <row r="94" spans="2:35" x14ac:dyDescent="0.25">
      <c r="B94" s="2" t="s">
        <v>96</v>
      </c>
      <c r="C94" s="33">
        <v>11</v>
      </c>
      <c r="D94" s="33">
        <v>0</v>
      </c>
      <c r="E94" s="33">
        <f t="shared" si="262"/>
        <v>11</v>
      </c>
      <c r="F94" s="33">
        <v>15</v>
      </c>
      <c r="G94" s="33">
        <v>0</v>
      </c>
      <c r="H94" s="33">
        <f t="shared" si="263"/>
        <v>15</v>
      </c>
      <c r="I94" s="33">
        <v>5</v>
      </c>
      <c r="J94" s="33">
        <v>0</v>
      </c>
      <c r="K94" s="33">
        <f t="shared" si="264"/>
        <v>5</v>
      </c>
      <c r="L94" s="33">
        <v>9</v>
      </c>
      <c r="M94" s="33">
        <v>1</v>
      </c>
      <c r="N94" s="33">
        <f t="shared" si="265"/>
        <v>10</v>
      </c>
      <c r="O94" s="33">
        <v>21</v>
      </c>
      <c r="P94" s="33">
        <v>1</v>
      </c>
      <c r="Q94" s="69">
        <f t="shared" si="266"/>
        <v>22</v>
      </c>
      <c r="R94" s="33">
        <v>23</v>
      </c>
      <c r="S94" s="33">
        <v>3</v>
      </c>
      <c r="T94" s="69">
        <f t="shared" si="267"/>
        <v>26</v>
      </c>
      <c r="U94" s="33">
        <v>8</v>
      </c>
      <c r="V94" s="33">
        <v>0</v>
      </c>
      <c r="W94" s="33">
        <f t="shared" si="268"/>
        <v>8</v>
      </c>
      <c r="X94" s="33">
        <v>10</v>
      </c>
      <c r="Y94" s="33">
        <v>1</v>
      </c>
      <c r="Z94" s="33">
        <f t="shared" si="269"/>
        <v>11</v>
      </c>
      <c r="AA94" s="33">
        <v>10</v>
      </c>
      <c r="AB94" s="33">
        <v>0</v>
      </c>
      <c r="AC94" s="33">
        <f t="shared" si="270"/>
        <v>10</v>
      </c>
      <c r="AD94" s="33">
        <v>12</v>
      </c>
      <c r="AE94" s="33">
        <v>3</v>
      </c>
      <c r="AF94" s="33">
        <f t="shared" si="271"/>
        <v>15</v>
      </c>
      <c r="AG94" s="33">
        <v>2</v>
      </c>
      <c r="AH94" s="33">
        <v>0</v>
      </c>
      <c r="AI94" s="33">
        <f t="shared" si="272"/>
        <v>2</v>
      </c>
    </row>
    <row r="95" spans="2:35" x14ac:dyDescent="0.25">
      <c r="B95" s="2" t="s">
        <v>97</v>
      </c>
      <c r="C95" s="33">
        <v>3</v>
      </c>
      <c r="D95" s="33">
        <v>2</v>
      </c>
      <c r="E95" s="33">
        <f t="shared" si="262"/>
        <v>5</v>
      </c>
      <c r="F95" s="33">
        <v>2</v>
      </c>
      <c r="G95" s="33">
        <v>0</v>
      </c>
      <c r="H95" s="33">
        <f t="shared" si="263"/>
        <v>2</v>
      </c>
      <c r="I95" s="33">
        <v>6</v>
      </c>
      <c r="J95" s="33">
        <v>1</v>
      </c>
      <c r="K95" s="33">
        <f t="shared" si="264"/>
        <v>7</v>
      </c>
      <c r="L95" s="33">
        <v>2</v>
      </c>
      <c r="M95" s="33">
        <v>1</v>
      </c>
      <c r="N95" s="33">
        <f t="shared" si="265"/>
        <v>3</v>
      </c>
      <c r="O95" s="33">
        <v>3</v>
      </c>
      <c r="P95" s="33">
        <v>0</v>
      </c>
      <c r="Q95" s="69">
        <f t="shared" si="266"/>
        <v>3</v>
      </c>
      <c r="R95" s="33">
        <v>2</v>
      </c>
      <c r="S95" s="33">
        <v>0</v>
      </c>
      <c r="T95" s="69">
        <f t="shared" si="267"/>
        <v>2</v>
      </c>
      <c r="U95" s="33">
        <v>2</v>
      </c>
      <c r="V95" s="33">
        <v>1</v>
      </c>
      <c r="W95" s="33">
        <f t="shared" si="268"/>
        <v>3</v>
      </c>
      <c r="X95" s="33">
        <v>8</v>
      </c>
      <c r="Y95" s="33">
        <v>1</v>
      </c>
      <c r="Z95" s="33">
        <f t="shared" si="269"/>
        <v>9</v>
      </c>
      <c r="AA95" s="33">
        <v>2</v>
      </c>
      <c r="AB95" s="33">
        <v>1</v>
      </c>
      <c r="AC95" s="33">
        <f t="shared" si="270"/>
        <v>3</v>
      </c>
      <c r="AD95" s="33">
        <v>2</v>
      </c>
      <c r="AE95" s="33">
        <v>2</v>
      </c>
      <c r="AF95" s="33">
        <f t="shared" si="271"/>
        <v>4</v>
      </c>
      <c r="AG95" s="33">
        <v>3</v>
      </c>
      <c r="AH95" s="33">
        <v>0</v>
      </c>
      <c r="AI95" s="33">
        <f t="shared" si="272"/>
        <v>3</v>
      </c>
    </row>
    <row r="96" spans="2:35" x14ac:dyDescent="0.25">
      <c r="C96" s="34">
        <f>SUM(C87:C95)</f>
        <v>160</v>
      </c>
      <c r="D96" s="33">
        <f t="shared" ref="D96:N96" si="273">SUM(D87:D95)</f>
        <v>9</v>
      </c>
      <c r="E96" s="34">
        <f t="shared" si="273"/>
        <v>169</v>
      </c>
      <c r="F96" s="34">
        <f t="shared" si="273"/>
        <v>147</v>
      </c>
      <c r="G96" s="33">
        <f t="shared" si="273"/>
        <v>2</v>
      </c>
      <c r="H96" s="34">
        <f t="shared" si="273"/>
        <v>149</v>
      </c>
      <c r="I96" s="34">
        <f t="shared" si="273"/>
        <v>117</v>
      </c>
      <c r="J96" s="33">
        <f t="shared" si="273"/>
        <v>6</v>
      </c>
      <c r="K96" s="34">
        <f>SUM(K87:K95)</f>
        <v>123</v>
      </c>
      <c r="L96" s="34">
        <f t="shared" si="273"/>
        <v>123</v>
      </c>
      <c r="M96" s="33">
        <f t="shared" si="273"/>
        <v>9</v>
      </c>
      <c r="N96" s="34">
        <f t="shared" si="273"/>
        <v>132</v>
      </c>
      <c r="O96" s="69">
        <f>SUM(O87:O95)</f>
        <v>125</v>
      </c>
      <c r="P96" s="69">
        <f>SUM(P87:P95)</f>
        <v>5</v>
      </c>
      <c r="Q96" s="69">
        <f t="shared" si="266"/>
        <v>130</v>
      </c>
      <c r="R96" s="69">
        <f>SUM(R87:R95)</f>
        <v>135</v>
      </c>
      <c r="S96" s="69">
        <f>SUM(S87:S95)</f>
        <v>12</v>
      </c>
      <c r="T96" s="69">
        <f t="shared" si="267"/>
        <v>147</v>
      </c>
      <c r="U96" s="69">
        <f>SUM(U87:U95)</f>
        <v>102</v>
      </c>
      <c r="V96" s="69">
        <f>SUM(V87:V95)</f>
        <v>7</v>
      </c>
      <c r="W96" s="69">
        <f t="shared" ref="W96" si="274">SUM(U96:V96)</f>
        <v>109</v>
      </c>
      <c r="X96" s="69">
        <f>SUM(X87:X95)</f>
        <v>133</v>
      </c>
      <c r="Y96" s="69">
        <f>SUM(Y87:Y95)</f>
        <v>10</v>
      </c>
      <c r="Z96" s="69">
        <f t="shared" si="269"/>
        <v>143</v>
      </c>
      <c r="AA96" s="69">
        <f>SUM(AA87:AA95)</f>
        <v>126</v>
      </c>
      <c r="AB96" s="69">
        <f>SUM(AB87:AB95)</f>
        <v>11</v>
      </c>
      <c r="AC96" s="69">
        <f t="shared" si="270"/>
        <v>137</v>
      </c>
      <c r="AD96" s="69">
        <f>SUM(AD87:AD95)</f>
        <v>115</v>
      </c>
      <c r="AE96" s="69">
        <f>SUM(AE87:AE95)</f>
        <v>15</v>
      </c>
      <c r="AF96" s="69">
        <f t="shared" si="271"/>
        <v>130</v>
      </c>
      <c r="AG96" s="69">
        <f>SUM(AG87:AG95)</f>
        <v>101</v>
      </c>
      <c r="AH96" s="69">
        <f>SUM(AH87:AH95)</f>
        <v>4</v>
      </c>
      <c r="AI96" s="69">
        <f t="shared" si="272"/>
        <v>105</v>
      </c>
    </row>
    <row r="100" spans="2:35" ht="18.75" x14ac:dyDescent="0.3">
      <c r="B100" s="15" t="s">
        <v>277</v>
      </c>
      <c r="C100" s="165">
        <v>2014</v>
      </c>
      <c r="D100" s="165"/>
      <c r="E100" s="165"/>
      <c r="F100" s="165">
        <v>2015</v>
      </c>
      <c r="G100" s="165"/>
      <c r="H100" s="165"/>
      <c r="I100" s="165">
        <v>2016</v>
      </c>
      <c r="J100" s="165"/>
      <c r="K100" s="165"/>
      <c r="L100" s="165">
        <v>2017</v>
      </c>
      <c r="M100" s="165"/>
      <c r="N100" s="165"/>
      <c r="O100" s="165">
        <v>2018</v>
      </c>
      <c r="P100" s="165"/>
      <c r="Q100" s="165"/>
      <c r="R100" s="165">
        <v>2019</v>
      </c>
      <c r="S100" s="165"/>
      <c r="T100" s="165"/>
      <c r="U100" s="165">
        <v>2020</v>
      </c>
      <c r="V100" s="165"/>
      <c r="W100" s="165"/>
      <c r="X100" s="165">
        <v>2021</v>
      </c>
      <c r="Y100" s="165"/>
      <c r="Z100" s="165"/>
      <c r="AA100" s="165">
        <v>2022</v>
      </c>
      <c r="AB100" s="165"/>
      <c r="AC100" s="165"/>
      <c r="AD100" s="165">
        <v>2023</v>
      </c>
      <c r="AE100" s="165"/>
      <c r="AF100" s="165"/>
      <c r="AG100" s="165">
        <v>2024</v>
      </c>
      <c r="AH100" s="165"/>
      <c r="AI100" s="165"/>
    </row>
    <row r="101" spans="2:35" ht="18.75" x14ac:dyDescent="0.3">
      <c r="B101" s="17"/>
      <c r="C101" s="31" t="s">
        <v>100</v>
      </c>
      <c r="D101" s="31" t="s">
        <v>101</v>
      </c>
      <c r="E101" s="31" t="s">
        <v>80</v>
      </c>
      <c r="F101" s="31" t="s">
        <v>100</v>
      </c>
      <c r="G101" s="31" t="s">
        <v>101</v>
      </c>
      <c r="H101" s="31" t="s">
        <v>80</v>
      </c>
      <c r="I101" s="31" t="s">
        <v>100</v>
      </c>
      <c r="J101" s="31" t="s">
        <v>101</v>
      </c>
      <c r="K101" s="31" t="s">
        <v>80</v>
      </c>
      <c r="L101" s="31" t="s">
        <v>100</v>
      </c>
      <c r="M101" s="31" t="s">
        <v>101</v>
      </c>
      <c r="N101" s="31" t="s">
        <v>80</v>
      </c>
      <c r="O101" s="31" t="s">
        <v>100</v>
      </c>
      <c r="P101" s="31" t="s">
        <v>101</v>
      </c>
      <c r="Q101" s="31" t="s">
        <v>80</v>
      </c>
      <c r="R101" s="31" t="s">
        <v>100</v>
      </c>
      <c r="S101" s="31" t="s">
        <v>101</v>
      </c>
      <c r="T101" s="31" t="s">
        <v>80</v>
      </c>
      <c r="U101" s="31" t="s">
        <v>100</v>
      </c>
      <c r="V101" s="31" t="s">
        <v>101</v>
      </c>
      <c r="W101" s="31" t="s">
        <v>80</v>
      </c>
      <c r="X101" s="31" t="s">
        <v>100</v>
      </c>
      <c r="Y101" s="31" t="s">
        <v>101</v>
      </c>
      <c r="Z101" s="31" t="s">
        <v>80</v>
      </c>
      <c r="AA101" s="31" t="s">
        <v>100</v>
      </c>
      <c r="AB101" s="31" t="s">
        <v>101</v>
      </c>
      <c r="AC101" s="31" t="s">
        <v>80</v>
      </c>
      <c r="AD101" s="31" t="s">
        <v>100</v>
      </c>
      <c r="AE101" s="31" t="s">
        <v>101</v>
      </c>
      <c r="AF101" s="31" t="s">
        <v>80</v>
      </c>
      <c r="AG101" s="31" t="s">
        <v>100</v>
      </c>
      <c r="AH101" s="31" t="s">
        <v>101</v>
      </c>
      <c r="AI101" s="31" t="s">
        <v>80</v>
      </c>
    </row>
    <row r="102" spans="2:35" x14ac:dyDescent="0.25">
      <c r="B102" s="32" t="s">
        <v>276</v>
      </c>
    </row>
    <row r="103" spans="2:35" x14ac:dyDescent="0.25">
      <c r="B103" s="2" t="s">
        <v>89</v>
      </c>
      <c r="C103" s="33">
        <f t="shared" ref="C103" si="275">C119/C128*100</f>
        <v>6.6971080669710803</v>
      </c>
      <c r="D103" s="33">
        <f>D119/D128*100</f>
        <v>9.4890510948905096</v>
      </c>
      <c r="E103" s="33">
        <f t="shared" ref="E103" si="276">E119/E128*100</f>
        <v>6.8354430379746836</v>
      </c>
      <c r="F103" s="33">
        <f>F119/F128*100</f>
        <v>7.0539419087136928</v>
      </c>
      <c r="G103" s="33">
        <f>G119/G128*100</f>
        <v>10.714285714285714</v>
      </c>
      <c r="H103" s="33">
        <f t="shared" ref="H103" si="277">H119/H128*100</f>
        <v>7.2375492654962379</v>
      </c>
      <c r="I103" s="33">
        <f>I119/I128*100</f>
        <v>6.8379160636758325</v>
      </c>
      <c r="J103" s="33">
        <f>J119/J128*100</f>
        <v>9.6256684491978604</v>
      </c>
      <c r="K103" s="33">
        <f t="shared" ref="K103" si="278">K119/K128*100</f>
        <v>7.0145713317519478</v>
      </c>
      <c r="L103" s="33">
        <f t="shared" ref="L103:Q103" si="279">L119/L128*100</f>
        <v>7.4690402476780191</v>
      </c>
      <c r="M103" s="33">
        <f t="shared" si="279"/>
        <v>12.5</v>
      </c>
      <c r="N103" s="33">
        <f t="shared" si="279"/>
        <v>7.7485380116959064</v>
      </c>
      <c r="O103" s="33">
        <f t="shared" si="279"/>
        <v>8.440514469453376</v>
      </c>
      <c r="P103" s="33">
        <f t="shared" si="279"/>
        <v>13.157894736842104</v>
      </c>
      <c r="Q103" s="33">
        <f t="shared" si="279"/>
        <v>8.7121212121212128</v>
      </c>
      <c r="R103" s="33">
        <f t="shared" ref="R103:T103" si="280">R119/R128*100</f>
        <v>8.69751499571551</v>
      </c>
      <c r="S103" s="33">
        <f t="shared" si="280"/>
        <v>12.352941176470589</v>
      </c>
      <c r="T103" s="33">
        <f t="shared" si="280"/>
        <v>8.9456869009584654</v>
      </c>
      <c r="U103" s="33">
        <f t="shared" ref="U103:W103" si="281">U119/U128*100</f>
        <v>10.097431355181577</v>
      </c>
      <c r="V103" s="33">
        <f t="shared" si="281"/>
        <v>17.985611510791365</v>
      </c>
      <c r="W103" s="33">
        <f t="shared" si="281"/>
        <v>10.554860241969129</v>
      </c>
      <c r="X103" s="33">
        <f t="shared" ref="X103:Z103" si="282">X119/X128*100</f>
        <v>9.0125391849529777</v>
      </c>
      <c r="Y103" s="33">
        <f t="shared" si="282"/>
        <v>18.421052631578945</v>
      </c>
      <c r="Z103" s="33">
        <f t="shared" si="282"/>
        <v>9.5414201183431953</v>
      </c>
      <c r="AA103" s="33">
        <f t="shared" ref="AA103:AB103" si="283">AA119/AA128*100</f>
        <v>9.7442143727161987</v>
      </c>
      <c r="AB103" s="33">
        <f t="shared" si="283"/>
        <v>15.686274509803921</v>
      </c>
      <c r="AC103" s="33">
        <f t="shared" ref="AC103" si="284">AC119/AC128*100</f>
        <v>10.091743119266056</v>
      </c>
      <c r="AD103" s="33">
        <f t="shared" ref="AD103:AD112" si="285">AD119/$AD$128*100</f>
        <v>9.9423631123919307</v>
      </c>
      <c r="AE103" s="33">
        <f t="shared" ref="AE103:AE112" si="286">AE119/$AE$128*100</f>
        <v>17.1875</v>
      </c>
      <c r="AF103" s="33">
        <f t="shared" ref="AF103:AF112" si="287">AF119/$AF$128*100</f>
        <v>10.361990950226245</v>
      </c>
      <c r="AG103" s="33">
        <f t="shared" ref="AG103:AG112" si="288">AG119/$AD$128*100</f>
        <v>9.9903938520653206</v>
      </c>
      <c r="AH103" s="33">
        <f t="shared" ref="AH103:AH112" si="289">AH119/$AE$128*100</f>
        <v>14.84375</v>
      </c>
      <c r="AI103" s="33">
        <f t="shared" ref="AI103:AI112" si="290">AI119/$AF$128*100</f>
        <v>10.271493212669682</v>
      </c>
    </row>
    <row r="104" spans="2:35" x14ac:dyDescent="0.25">
      <c r="B104" s="2" t="s">
        <v>90</v>
      </c>
      <c r="C104" s="33">
        <f t="shared" ref="C104" si="291">C120/C128*100</f>
        <v>18.036529680365295</v>
      </c>
      <c r="D104" s="33">
        <f>D120/D128*100</f>
        <v>16.058394160583941</v>
      </c>
      <c r="E104" s="33">
        <f t="shared" ref="E104:F104" si="292">E120/E128*100</f>
        <v>17.93851717902351</v>
      </c>
      <c r="F104" s="33">
        <f t="shared" si="292"/>
        <v>16.144850999622783</v>
      </c>
      <c r="G104" s="33">
        <f>G120/G128*100</f>
        <v>14.285714285714285</v>
      </c>
      <c r="H104" s="33">
        <f t="shared" ref="H104:I104" si="293">H120/H128*100</f>
        <v>16.051594410605517</v>
      </c>
      <c r="I104" s="33">
        <f t="shared" si="293"/>
        <v>15.810419681620838</v>
      </c>
      <c r="J104" s="33">
        <f>J120/J128*100</f>
        <v>14.438502673796791</v>
      </c>
      <c r="K104" s="33">
        <f t="shared" ref="K104:L104" si="294">K120/K128*100</f>
        <v>15.723483564893256</v>
      </c>
      <c r="L104" s="33">
        <f t="shared" si="294"/>
        <v>14.512383900928793</v>
      </c>
      <c r="M104" s="33">
        <f>M120/M128*100</f>
        <v>14.473684210526317</v>
      </c>
      <c r="N104" s="33">
        <f>N120/N128*100</f>
        <v>14.510233918128653</v>
      </c>
      <c r="O104" s="33">
        <f t="shared" ref="O104" si="295">O120/O128*100</f>
        <v>14.831189710610932</v>
      </c>
      <c r="P104" s="33">
        <f>P120/P128*100</f>
        <v>15.789473684210526</v>
      </c>
      <c r="Q104" s="33">
        <f>Q120/Q128*100</f>
        <v>14.886363636363637</v>
      </c>
      <c r="R104" s="33">
        <f t="shared" ref="R104" si="296">R120/R128*100</f>
        <v>14.9528706083976</v>
      </c>
      <c r="S104" s="33">
        <f>S120/S128*100</f>
        <v>12.941176470588237</v>
      </c>
      <c r="T104" s="33">
        <f>T120/T128*100</f>
        <v>14.81629392971246</v>
      </c>
      <c r="U104" s="33">
        <f t="shared" ref="U104" si="297">U120/U128*100</f>
        <v>15.279007971656334</v>
      </c>
      <c r="V104" s="33">
        <f>V120/V128*100</f>
        <v>10.791366906474821</v>
      </c>
      <c r="W104" s="33">
        <f>W120/W128*100</f>
        <v>15.018773466833544</v>
      </c>
      <c r="X104" s="33">
        <f t="shared" ref="X104" si="298">X120/X128*100</f>
        <v>14.772727272727273</v>
      </c>
      <c r="Y104" s="33">
        <f>Y120/Y128*100</f>
        <v>13.815789473684212</v>
      </c>
      <c r="Z104" s="33">
        <f>Z120/Z128*100</f>
        <v>14.718934911242604</v>
      </c>
      <c r="AA104" s="33">
        <f t="shared" ref="AA104" si="299">AA120/AA128*100</f>
        <v>10.272025984571661</v>
      </c>
      <c r="AB104" s="33">
        <f>AB120/AB128*100</f>
        <v>9.1503267973856204</v>
      </c>
      <c r="AC104" s="33">
        <f>AC120/AC128*100</f>
        <v>10.206422018348624</v>
      </c>
      <c r="AD104" s="33">
        <f t="shared" si="285"/>
        <v>9.9423631123919307</v>
      </c>
      <c r="AE104" s="33">
        <f t="shared" si="286"/>
        <v>7.03125</v>
      </c>
      <c r="AF104" s="33">
        <f t="shared" si="287"/>
        <v>9.7737556561085981</v>
      </c>
      <c r="AG104" s="33">
        <f t="shared" si="288"/>
        <v>21.517771373679153</v>
      </c>
      <c r="AH104" s="33">
        <f t="shared" si="289"/>
        <v>7.8125</v>
      </c>
      <c r="AI104" s="33">
        <f t="shared" si="290"/>
        <v>20.72398190045249</v>
      </c>
    </row>
    <row r="105" spans="2:35" x14ac:dyDescent="0.25">
      <c r="B105" s="2" t="s">
        <v>91</v>
      </c>
      <c r="C105" s="33">
        <f t="shared" ref="C105:N105" si="300">C121/C128*100</f>
        <v>23.097412480974125</v>
      </c>
      <c r="D105" s="33">
        <f t="shared" si="300"/>
        <v>24.817518248175183</v>
      </c>
      <c r="E105" s="33">
        <f t="shared" si="300"/>
        <v>23.182640144665463</v>
      </c>
      <c r="F105" s="33">
        <f t="shared" si="300"/>
        <v>25.122595247076575</v>
      </c>
      <c r="G105" s="33">
        <f t="shared" si="300"/>
        <v>30</v>
      </c>
      <c r="H105" s="33">
        <f t="shared" si="300"/>
        <v>25.367251881046222</v>
      </c>
      <c r="I105" s="33">
        <f t="shared" si="300"/>
        <v>25.072358900144721</v>
      </c>
      <c r="J105" s="33">
        <f t="shared" si="300"/>
        <v>21.925133689839569</v>
      </c>
      <c r="K105" s="33">
        <f t="shared" si="300"/>
        <v>24.872924432395799</v>
      </c>
      <c r="L105" s="33">
        <f t="shared" si="300"/>
        <v>25.386996904024766</v>
      </c>
      <c r="M105" s="33">
        <f t="shared" si="300"/>
        <v>20.394736842105264</v>
      </c>
      <c r="N105" s="33">
        <f t="shared" si="300"/>
        <v>25.109649122807014</v>
      </c>
      <c r="O105" s="33">
        <f t="shared" ref="O105" si="301">O121/O128*100</f>
        <v>24.879421221864952</v>
      </c>
      <c r="P105" s="33">
        <f t="shared" ref="P105:R105" si="302">P121/P128*100</f>
        <v>26.973684210526315</v>
      </c>
      <c r="Q105" s="33">
        <f t="shared" si="302"/>
        <v>25</v>
      </c>
      <c r="R105" s="33">
        <f t="shared" si="302"/>
        <v>23.264781491002569</v>
      </c>
      <c r="S105" s="33">
        <f t="shared" ref="S105:U105" si="303">S121/S128*100</f>
        <v>24.117647058823529</v>
      </c>
      <c r="T105" s="33">
        <f t="shared" si="303"/>
        <v>23.322683706070286</v>
      </c>
      <c r="U105" s="33">
        <f t="shared" si="303"/>
        <v>23.82639503985828</v>
      </c>
      <c r="V105" s="33">
        <f t="shared" ref="V105:X105" si="304">V121/V128*100</f>
        <v>27.338129496402878</v>
      </c>
      <c r="W105" s="33">
        <f t="shared" si="304"/>
        <v>24.030037546933666</v>
      </c>
      <c r="X105" s="33">
        <f t="shared" si="304"/>
        <v>22.766457680250785</v>
      </c>
      <c r="Y105" s="33">
        <f t="shared" ref="Y105:AA105" si="305">Y121/Y128*100</f>
        <v>18.421052631578945</v>
      </c>
      <c r="Z105" s="33">
        <f t="shared" si="305"/>
        <v>22.522189349112427</v>
      </c>
      <c r="AA105" s="33">
        <f t="shared" si="305"/>
        <v>20.503451075923671</v>
      </c>
      <c r="AB105" s="33">
        <f t="shared" ref="AB105" si="306">AB121/AB128*100</f>
        <v>23.52941176470588</v>
      </c>
      <c r="AC105" s="33">
        <f t="shared" ref="AC105" si="307">AC121/AC128*100</f>
        <v>20.680428134556575</v>
      </c>
      <c r="AD105" s="33">
        <f t="shared" si="285"/>
        <v>19.836695485110472</v>
      </c>
      <c r="AE105" s="33">
        <f t="shared" si="286"/>
        <v>20.3125</v>
      </c>
      <c r="AF105" s="33">
        <f t="shared" si="287"/>
        <v>19.864253393665159</v>
      </c>
      <c r="AG105" s="33">
        <f t="shared" si="288"/>
        <v>21.75792507204611</v>
      </c>
      <c r="AH105" s="33">
        <f t="shared" si="289"/>
        <v>16.40625</v>
      </c>
      <c r="AI105" s="33">
        <f t="shared" si="290"/>
        <v>21.447963800904976</v>
      </c>
    </row>
    <row r="106" spans="2:35" x14ac:dyDescent="0.25">
      <c r="B106" s="2" t="s">
        <v>92</v>
      </c>
      <c r="C106" s="33">
        <f t="shared" ref="C106:M106" si="308">C122/C128*100</f>
        <v>10.844748858447488</v>
      </c>
      <c r="D106" s="33">
        <f t="shared" si="308"/>
        <v>14.5985401459854</v>
      </c>
      <c r="E106" s="33">
        <f t="shared" si="308"/>
        <v>11.030741410488245</v>
      </c>
      <c r="F106" s="33">
        <f t="shared" si="308"/>
        <v>8.1855903432666928</v>
      </c>
      <c r="G106" s="33">
        <f t="shared" si="308"/>
        <v>9.2857142857142865</v>
      </c>
      <c r="H106" s="33">
        <f t="shared" si="308"/>
        <v>8.2407739161590836</v>
      </c>
      <c r="I106" s="33">
        <f t="shared" si="308"/>
        <v>8.2489146164978298</v>
      </c>
      <c r="J106" s="33">
        <f t="shared" si="308"/>
        <v>11.229946524064172</v>
      </c>
      <c r="K106" s="33">
        <f t="shared" si="308"/>
        <v>8.4378176889190115</v>
      </c>
      <c r="L106" s="33">
        <f t="shared" si="308"/>
        <v>7.5464396284829718</v>
      </c>
      <c r="M106" s="33">
        <f t="shared" si="308"/>
        <v>4.6052631578947363</v>
      </c>
      <c r="N106" s="33">
        <f>N122/N128*100</f>
        <v>7.3830409356725148</v>
      </c>
      <c r="O106" s="33">
        <f t="shared" ref="O106" si="309">O122/O128*100</f>
        <v>5.707395498392283</v>
      </c>
      <c r="P106" s="33">
        <f t="shared" ref="P106" si="310">P122/P128*100</f>
        <v>7.8947368421052628</v>
      </c>
      <c r="Q106" s="33">
        <f>Q122/Q128*100</f>
        <v>5.833333333333333</v>
      </c>
      <c r="R106" s="33">
        <f t="shared" ref="R106:S106" si="311">R122/R128*100</f>
        <v>4.712939160239932</v>
      </c>
      <c r="S106" s="33">
        <f t="shared" si="311"/>
        <v>7.6470588235294121</v>
      </c>
      <c r="T106" s="33">
        <f>T122/T128*100</f>
        <v>4.9121405750798726</v>
      </c>
      <c r="U106" s="33">
        <f t="shared" ref="U106:V106" si="312">U122/U128*100</f>
        <v>3.0558015943312666</v>
      </c>
      <c r="V106" s="33">
        <f t="shared" si="312"/>
        <v>3.5971223021582732</v>
      </c>
      <c r="W106" s="33">
        <f>W122/W128*100</f>
        <v>3.0871923237380061</v>
      </c>
      <c r="X106" s="33">
        <f t="shared" ref="X106:Y106" si="313">X122/X128*100</f>
        <v>3.8009404388714731</v>
      </c>
      <c r="Y106" s="33">
        <f t="shared" si="313"/>
        <v>2.6315789473684208</v>
      </c>
      <c r="Z106" s="33">
        <f>Z122/Z128*100</f>
        <v>3.7352071005917162</v>
      </c>
      <c r="AA106" s="33">
        <f t="shared" ref="AA106:AB106" si="314">AA122/AA128*100</f>
        <v>3.3698741372310193</v>
      </c>
      <c r="AB106" s="33">
        <f t="shared" si="314"/>
        <v>5.2287581699346406</v>
      </c>
      <c r="AC106" s="33">
        <f>AC122/AC128*100</f>
        <v>3.4785932721712536</v>
      </c>
      <c r="AD106" s="33">
        <f t="shared" si="285"/>
        <v>3.0259365994236309</v>
      </c>
      <c r="AE106" s="33">
        <f t="shared" si="286"/>
        <v>7.8125</v>
      </c>
      <c r="AF106" s="33">
        <f t="shared" si="287"/>
        <v>3.3031674208144799</v>
      </c>
      <c r="AG106" s="33">
        <f t="shared" si="288"/>
        <v>3.8904899135446689</v>
      </c>
      <c r="AH106" s="33">
        <f t="shared" si="289"/>
        <v>5.46875</v>
      </c>
      <c r="AI106" s="33">
        <f t="shared" si="290"/>
        <v>3.9819004524886874</v>
      </c>
    </row>
    <row r="107" spans="2:35" x14ac:dyDescent="0.25">
      <c r="B107" s="2" t="s">
        <v>93</v>
      </c>
      <c r="C107" s="33">
        <f t="shared" ref="C107:N107" si="315">C123/C128*100</f>
        <v>6.0882800608828003</v>
      </c>
      <c r="D107" s="33">
        <f t="shared" si="315"/>
        <v>1.4598540145985401</v>
      </c>
      <c r="E107" s="33">
        <f t="shared" si="315"/>
        <v>5.8589511754068715</v>
      </c>
      <c r="F107" s="33">
        <f t="shared" si="315"/>
        <v>4.2625424368162959</v>
      </c>
      <c r="G107" s="33">
        <f t="shared" si="315"/>
        <v>0.7142857142857143</v>
      </c>
      <c r="H107" s="33">
        <f t="shared" si="315"/>
        <v>4.084557506270154</v>
      </c>
      <c r="I107" s="33">
        <f t="shared" si="315"/>
        <v>3.8712011577424024</v>
      </c>
      <c r="J107" s="33">
        <f t="shared" si="315"/>
        <v>0.53475935828876997</v>
      </c>
      <c r="K107" s="33">
        <f t="shared" si="315"/>
        <v>3.6597763470010167</v>
      </c>
      <c r="L107" s="33">
        <f t="shared" si="315"/>
        <v>3.5990712074303404</v>
      </c>
      <c r="M107" s="33">
        <f t="shared" si="315"/>
        <v>1.9736842105263157</v>
      </c>
      <c r="N107" s="33">
        <f t="shared" si="315"/>
        <v>3.5087719298245612</v>
      </c>
      <c r="O107" s="33">
        <f t="shared" ref="O107" si="316">O123/O128*100</f>
        <v>3.9790996784565915</v>
      </c>
      <c r="P107" s="33">
        <f t="shared" ref="P107:R107" si="317">P123/P128*100</f>
        <v>3.2894736842105261</v>
      </c>
      <c r="Q107" s="33">
        <f t="shared" si="317"/>
        <v>3.939393939393939</v>
      </c>
      <c r="R107" s="33">
        <f t="shared" si="317"/>
        <v>3.8131962296486717</v>
      </c>
      <c r="S107" s="33">
        <f t="shared" ref="S107:U107" si="318">S123/S128*100</f>
        <v>1.7647058823529411</v>
      </c>
      <c r="T107" s="33">
        <f t="shared" si="318"/>
        <v>3.6741214057507987</v>
      </c>
      <c r="U107" s="33">
        <f t="shared" si="318"/>
        <v>4.2958370239149692</v>
      </c>
      <c r="V107" s="33">
        <f t="shared" ref="V107:X107" si="319">V123/V128*100</f>
        <v>2.877697841726619</v>
      </c>
      <c r="W107" s="33">
        <f t="shared" si="319"/>
        <v>4.2136003337505219</v>
      </c>
      <c r="X107" s="33">
        <f t="shared" si="319"/>
        <v>3.4482758620689653</v>
      </c>
      <c r="Y107" s="33">
        <f t="shared" ref="Y107:AA107" si="320">Y123/Y128*100</f>
        <v>3.2894736842105261</v>
      </c>
      <c r="Z107" s="33">
        <f t="shared" si="320"/>
        <v>3.4393491124260356</v>
      </c>
      <c r="AA107" s="33">
        <f t="shared" si="320"/>
        <v>3.6946812829882254</v>
      </c>
      <c r="AB107" s="33">
        <f t="shared" ref="AB107" si="321">AB123/AB128*100</f>
        <v>2.6143790849673203</v>
      </c>
      <c r="AC107" s="33">
        <f t="shared" ref="AC107" si="322">AC123/AC128*100</f>
        <v>3.6314984709480123</v>
      </c>
      <c r="AD107" s="33">
        <f t="shared" si="285"/>
        <v>3.1700288184438041</v>
      </c>
      <c r="AE107" s="33">
        <f t="shared" si="286"/>
        <v>3.125</v>
      </c>
      <c r="AF107" s="33">
        <f t="shared" si="287"/>
        <v>3.1674208144796379</v>
      </c>
      <c r="AG107" s="33">
        <f t="shared" si="288"/>
        <v>4.7550432276657064</v>
      </c>
      <c r="AH107" s="33">
        <f t="shared" si="289"/>
        <v>2.34375</v>
      </c>
      <c r="AI107" s="33">
        <f t="shared" si="290"/>
        <v>4.6153846153846159</v>
      </c>
    </row>
    <row r="108" spans="2:35" x14ac:dyDescent="0.25">
      <c r="B108" s="2" t="s">
        <v>94</v>
      </c>
      <c r="C108" s="33">
        <f t="shared" ref="C108:N108" si="323">C124/C128*100</f>
        <v>16.62861491628615</v>
      </c>
      <c r="D108" s="33">
        <f t="shared" si="323"/>
        <v>1.4598540145985401</v>
      </c>
      <c r="E108" s="33">
        <f t="shared" si="323"/>
        <v>15.877034358047016</v>
      </c>
      <c r="F108" s="33">
        <f t="shared" si="323"/>
        <v>19.01169370049038</v>
      </c>
      <c r="G108" s="33">
        <f t="shared" si="323"/>
        <v>2.1428571428571428</v>
      </c>
      <c r="H108" s="33">
        <f t="shared" si="323"/>
        <v>18.165532067359369</v>
      </c>
      <c r="I108" s="33">
        <f t="shared" si="323"/>
        <v>17.619392185238784</v>
      </c>
      <c r="J108" s="33">
        <f t="shared" si="323"/>
        <v>2.6737967914438503</v>
      </c>
      <c r="K108" s="33">
        <f t="shared" si="323"/>
        <v>16.672314469671299</v>
      </c>
      <c r="L108" s="33">
        <f t="shared" si="323"/>
        <v>18.769349845201237</v>
      </c>
      <c r="M108" s="33">
        <f t="shared" si="323"/>
        <v>3.9473684210526314</v>
      </c>
      <c r="N108" s="33">
        <f t="shared" si="323"/>
        <v>17.945906432748536</v>
      </c>
      <c r="O108" s="33">
        <f t="shared" ref="O108" si="324">O124/O128*100</f>
        <v>22.106109324758844</v>
      </c>
      <c r="P108" s="33">
        <f t="shared" ref="P108:R108" si="325">P124/P128*100</f>
        <v>3.9473684210526314</v>
      </c>
      <c r="Q108" s="33">
        <f t="shared" si="325"/>
        <v>21.060606060606059</v>
      </c>
      <c r="R108" s="33">
        <f t="shared" si="325"/>
        <v>25.107112253641816</v>
      </c>
      <c r="S108" s="33">
        <f t="shared" ref="S108:U108" si="326">S124/S128*100</f>
        <v>5.2941176470588234</v>
      </c>
      <c r="T108" s="33">
        <f t="shared" si="326"/>
        <v>23.761980830670925</v>
      </c>
      <c r="U108" s="33">
        <f t="shared" si="326"/>
        <v>26.79362267493357</v>
      </c>
      <c r="V108" s="33">
        <f t="shared" ref="V108:X108" si="327">V124/V128*100</f>
        <v>4.3165467625899279</v>
      </c>
      <c r="W108" s="33">
        <f t="shared" si="327"/>
        <v>25.490196078431371</v>
      </c>
      <c r="X108" s="33">
        <f t="shared" si="327"/>
        <v>28.761755485893413</v>
      </c>
      <c r="Y108" s="33">
        <f t="shared" ref="Y108:AA108" si="328">Y124/Y128*100</f>
        <v>4.6052631578947363</v>
      </c>
      <c r="Z108" s="33">
        <f t="shared" si="328"/>
        <v>27.403846153846157</v>
      </c>
      <c r="AA108" s="33">
        <f t="shared" si="328"/>
        <v>28.989037758830694</v>
      </c>
      <c r="AB108" s="33">
        <f t="shared" ref="AB108" si="329">AB124/AB128*100</f>
        <v>4.5751633986928102</v>
      </c>
      <c r="AC108" s="33">
        <f t="shared" ref="AC108" si="330">AC124/AC128*100</f>
        <v>27.561162079510705</v>
      </c>
      <c r="AD108" s="33">
        <f t="shared" si="285"/>
        <v>33.717579250720462</v>
      </c>
      <c r="AE108" s="33">
        <f t="shared" si="286"/>
        <v>7.8125</v>
      </c>
      <c r="AF108" s="33">
        <f t="shared" si="287"/>
        <v>32.217194570135746</v>
      </c>
      <c r="AG108" s="33">
        <f t="shared" si="288"/>
        <v>19.452449567723342</v>
      </c>
      <c r="AH108" s="33">
        <f t="shared" si="289"/>
        <v>4.6875</v>
      </c>
      <c r="AI108" s="33">
        <f t="shared" si="290"/>
        <v>18.597285067873305</v>
      </c>
    </row>
    <row r="109" spans="2:35" x14ac:dyDescent="0.25">
      <c r="B109" s="2" t="s">
        <v>95</v>
      </c>
      <c r="C109" s="33">
        <f t="shared" ref="C109:N109" si="331">C125/C128*100</f>
        <v>3.8812785388127851</v>
      </c>
      <c r="D109" s="33">
        <f t="shared" si="331"/>
        <v>13.868613138686131</v>
      </c>
      <c r="E109" s="33">
        <f t="shared" si="331"/>
        <v>4.3761301989150088</v>
      </c>
      <c r="F109" s="33">
        <f t="shared" si="331"/>
        <v>5.3564692568841954</v>
      </c>
      <c r="G109" s="33">
        <f t="shared" si="331"/>
        <v>12.857142857142856</v>
      </c>
      <c r="H109" s="33">
        <f t="shared" si="331"/>
        <v>5.7327122895019702</v>
      </c>
      <c r="I109" s="33">
        <f t="shared" si="331"/>
        <v>7.0911722141823441</v>
      </c>
      <c r="J109" s="33">
        <f t="shared" si="331"/>
        <v>14.438502673796791</v>
      </c>
      <c r="K109" s="33">
        <f t="shared" si="331"/>
        <v>7.5567604201965439</v>
      </c>
      <c r="L109" s="33">
        <f t="shared" si="331"/>
        <v>6.6176470588235299</v>
      </c>
      <c r="M109" s="33">
        <f t="shared" si="331"/>
        <v>13.815789473684212</v>
      </c>
      <c r="N109" s="33">
        <f t="shared" si="331"/>
        <v>7.0175438596491224</v>
      </c>
      <c r="O109" s="33">
        <f t="shared" ref="O109" si="332">O125/O128*100</f>
        <v>5.9485530546623799</v>
      </c>
      <c r="P109" s="33">
        <f t="shared" ref="P109:R109" si="333">P125/P128*100</f>
        <v>10.526315789473683</v>
      </c>
      <c r="Q109" s="33">
        <f t="shared" si="333"/>
        <v>6.2121212121212119</v>
      </c>
      <c r="R109" s="33">
        <f t="shared" si="333"/>
        <v>5.7412167952013711</v>
      </c>
      <c r="S109" s="33">
        <f t="shared" ref="S109:U109" si="334">S125/S128*100</f>
        <v>10.588235294117647</v>
      </c>
      <c r="T109" s="33">
        <f t="shared" si="334"/>
        <v>6.0702875399361016</v>
      </c>
      <c r="U109" s="33">
        <f t="shared" si="334"/>
        <v>5.1815766164747563</v>
      </c>
      <c r="V109" s="33">
        <f t="shared" ref="V109:X109" si="335">V125/V128*100</f>
        <v>7.9136690647482011</v>
      </c>
      <c r="W109" s="33">
        <f t="shared" si="335"/>
        <v>5.3400083437630368</v>
      </c>
      <c r="X109" s="33">
        <f t="shared" si="335"/>
        <v>5.0156739811912221</v>
      </c>
      <c r="Y109" s="33">
        <f t="shared" ref="Y109:AA109" si="336">Y125/Y128*100</f>
        <v>11.842105263157894</v>
      </c>
      <c r="Z109" s="33">
        <f t="shared" si="336"/>
        <v>5.3994082840236688</v>
      </c>
      <c r="AA109" s="33">
        <f t="shared" si="336"/>
        <v>5.2375152253349571</v>
      </c>
      <c r="AB109" s="33">
        <f t="shared" ref="AB109" si="337">AB125/AB128*100</f>
        <v>5.8823529411764701</v>
      </c>
      <c r="AC109" s="33">
        <f t="shared" ref="AC109" si="338">AC125/AC128*100</f>
        <v>5.2752293577981657</v>
      </c>
      <c r="AD109" s="33">
        <f t="shared" si="285"/>
        <v>4.851104707012488</v>
      </c>
      <c r="AE109" s="33">
        <f t="shared" si="286"/>
        <v>7.8125</v>
      </c>
      <c r="AF109" s="33">
        <f t="shared" si="287"/>
        <v>5.0226244343891402</v>
      </c>
      <c r="AG109" s="33">
        <f t="shared" si="288"/>
        <v>5.5235350624399615</v>
      </c>
      <c r="AH109" s="33">
        <f t="shared" si="289"/>
        <v>4.6875</v>
      </c>
      <c r="AI109" s="33">
        <f t="shared" si="290"/>
        <v>5.4751131221719458</v>
      </c>
    </row>
    <row r="110" spans="2:35" x14ac:dyDescent="0.25">
      <c r="B110" s="2" t="s">
        <v>96</v>
      </c>
      <c r="C110" s="33">
        <f t="shared" ref="C110:N110" si="339">C126/C128*100</f>
        <v>3.9193302891933026</v>
      </c>
      <c r="D110" s="33">
        <f t="shared" si="339"/>
        <v>6.5693430656934311</v>
      </c>
      <c r="E110" s="33">
        <f t="shared" si="339"/>
        <v>4.0506329113924053</v>
      </c>
      <c r="F110" s="33">
        <f t="shared" si="339"/>
        <v>3.4326669181440965</v>
      </c>
      <c r="G110" s="33">
        <f t="shared" si="339"/>
        <v>3.5714285714285712</v>
      </c>
      <c r="H110" s="33">
        <f t="shared" si="339"/>
        <v>3.4396273737011827</v>
      </c>
      <c r="I110" s="33">
        <f t="shared" si="339"/>
        <v>3.3646888567293773</v>
      </c>
      <c r="J110" s="33">
        <f t="shared" si="339"/>
        <v>8.0213903743315509</v>
      </c>
      <c r="K110" s="33">
        <f t="shared" si="339"/>
        <v>3.6597763470010167</v>
      </c>
      <c r="L110" s="33">
        <f t="shared" si="339"/>
        <v>3.2507739938080498</v>
      </c>
      <c r="M110" s="33">
        <f t="shared" si="339"/>
        <v>6.5789473684210522</v>
      </c>
      <c r="N110" s="33">
        <f t="shared" si="339"/>
        <v>3.435672514619883</v>
      </c>
      <c r="O110" s="33">
        <f t="shared" ref="O110" si="340">O126/O128*100</f>
        <v>2.652733118971061</v>
      </c>
      <c r="P110" s="33">
        <f t="shared" ref="P110:R110" si="341">P126/P128*100</f>
        <v>4.6052631578947363</v>
      </c>
      <c r="Q110" s="33">
        <f t="shared" si="341"/>
        <v>2.7651515151515151</v>
      </c>
      <c r="R110" s="33">
        <f t="shared" si="341"/>
        <v>2.8706083976006855</v>
      </c>
      <c r="S110" s="33">
        <f t="shared" ref="S110:U110" si="342">S126/S128*100</f>
        <v>7.0588235294117645</v>
      </c>
      <c r="T110" s="33">
        <f t="shared" si="342"/>
        <v>3.1549520766773163</v>
      </c>
      <c r="U110" s="33">
        <f t="shared" si="342"/>
        <v>3.3658104517271923</v>
      </c>
      <c r="V110" s="33">
        <f t="shared" ref="V110:X110" si="343">V126/V128*100</f>
        <v>10.071942446043165</v>
      </c>
      <c r="W110" s="33">
        <f t="shared" si="343"/>
        <v>3.7546933667083859</v>
      </c>
      <c r="X110" s="33">
        <f t="shared" si="343"/>
        <v>2.938871473354232</v>
      </c>
      <c r="Y110" s="33">
        <f t="shared" ref="Y110:AA110" si="344">Y126/Y128*100</f>
        <v>6.5789473684210522</v>
      </c>
      <c r="Z110" s="33">
        <f t="shared" si="344"/>
        <v>3.1434911242603549</v>
      </c>
      <c r="AA110" s="33">
        <f t="shared" si="344"/>
        <v>4.8315062931384487</v>
      </c>
      <c r="AB110" s="33">
        <f t="shared" ref="AB110" si="345">AB126/AB128*100</f>
        <v>9.8039215686274517</v>
      </c>
      <c r="AC110" s="33">
        <f t="shared" ref="AC110" si="346">AC126/AC128*100</f>
        <v>5.1223241590214066</v>
      </c>
      <c r="AD110" s="33">
        <f t="shared" si="285"/>
        <v>3.5062439961575409</v>
      </c>
      <c r="AE110" s="33">
        <f t="shared" si="286"/>
        <v>8.59375</v>
      </c>
      <c r="AF110" s="33">
        <f t="shared" si="287"/>
        <v>3.8009049773755654</v>
      </c>
      <c r="AG110" s="33">
        <f t="shared" si="288"/>
        <v>3.9385206532180597</v>
      </c>
      <c r="AH110" s="33">
        <f t="shared" si="289"/>
        <v>8.59375</v>
      </c>
      <c r="AI110" s="33">
        <f t="shared" si="290"/>
        <v>4.2081447963800906</v>
      </c>
    </row>
    <row r="111" spans="2:35" x14ac:dyDescent="0.25">
      <c r="B111" s="2" t="s">
        <v>97</v>
      </c>
      <c r="C111" s="33">
        <f t="shared" ref="C111:N111" si="347">C127/C128*100</f>
        <v>10.80669710806697</v>
      </c>
      <c r="D111" s="33">
        <f t="shared" si="347"/>
        <v>11.678832116788321</v>
      </c>
      <c r="E111" s="33">
        <f t="shared" si="347"/>
        <v>10.849909584086799</v>
      </c>
      <c r="F111" s="33">
        <f t="shared" si="347"/>
        <v>11.429649188985289</v>
      </c>
      <c r="G111" s="33">
        <f t="shared" si="347"/>
        <v>16.428571428571427</v>
      </c>
      <c r="H111" s="33">
        <f t="shared" si="347"/>
        <v>11.680401289860265</v>
      </c>
      <c r="I111" s="33">
        <f t="shared" si="347"/>
        <v>12.083936324167873</v>
      </c>
      <c r="J111" s="33">
        <f t="shared" si="347"/>
        <v>17.112299465240639</v>
      </c>
      <c r="K111" s="33">
        <f t="shared" si="347"/>
        <v>12.402575398170111</v>
      </c>
      <c r="L111" s="33">
        <f t="shared" si="347"/>
        <v>12.848297213622292</v>
      </c>
      <c r="M111" s="33">
        <f t="shared" si="347"/>
        <v>21.710526315789476</v>
      </c>
      <c r="N111" s="33">
        <f t="shared" si="347"/>
        <v>13.3406432748538</v>
      </c>
      <c r="O111" s="33">
        <f t="shared" ref="O111" si="348">O127/O128*100</f>
        <v>11.454983922829582</v>
      </c>
      <c r="P111" s="33">
        <f t="shared" ref="P111:R111" si="349">P127/P128*100</f>
        <v>13.815789473684212</v>
      </c>
      <c r="Q111" s="33">
        <f t="shared" si="349"/>
        <v>11.59090909090909</v>
      </c>
      <c r="R111" s="33">
        <f t="shared" si="349"/>
        <v>10.839760068551842</v>
      </c>
      <c r="S111" s="33">
        <f t="shared" ref="S111:U111" si="350">S127/S128*100</f>
        <v>18.235294117647058</v>
      </c>
      <c r="T111" s="33">
        <f t="shared" si="350"/>
        <v>11.341853035143771</v>
      </c>
      <c r="U111" s="33">
        <f t="shared" si="350"/>
        <v>8.1045172719220542</v>
      </c>
      <c r="V111" s="33">
        <f t="shared" ref="V111:X111" si="351">V127/V128*100</f>
        <v>15.107913669064748</v>
      </c>
      <c r="W111" s="33">
        <f t="shared" si="351"/>
        <v>8.5106382978723403</v>
      </c>
      <c r="X111" s="33">
        <f t="shared" si="351"/>
        <v>9.4827586206896548</v>
      </c>
      <c r="Y111" s="33">
        <f t="shared" ref="Y111:AA111" si="352">Y127/Y128*100</f>
        <v>20.394736842105264</v>
      </c>
      <c r="Z111" s="33">
        <f t="shared" si="352"/>
        <v>10.096153846153847</v>
      </c>
      <c r="AA111" s="33">
        <f t="shared" si="352"/>
        <v>13.357693869265125</v>
      </c>
      <c r="AB111" s="33">
        <f t="shared" ref="AB111" si="353">AB127/AB128*100</f>
        <v>23.52941176470588</v>
      </c>
      <c r="AC111" s="33">
        <f t="shared" ref="AC111" si="354">AC127/AC128*100</f>
        <v>13.952599388379205</v>
      </c>
      <c r="AD111" s="33">
        <f t="shared" si="285"/>
        <v>12.007684918347742</v>
      </c>
      <c r="AE111" s="33">
        <f t="shared" si="286"/>
        <v>20.3125</v>
      </c>
      <c r="AF111" s="33">
        <f t="shared" si="287"/>
        <v>12.48868778280543</v>
      </c>
      <c r="AG111" s="33">
        <f t="shared" si="288"/>
        <v>12.536023054755043</v>
      </c>
      <c r="AH111" s="33">
        <f t="shared" si="289"/>
        <v>11.71875</v>
      </c>
      <c r="AI111" s="33">
        <f t="shared" si="290"/>
        <v>12.48868778280543</v>
      </c>
    </row>
    <row r="112" spans="2:35" x14ac:dyDescent="0.25">
      <c r="B112" s="14" t="s">
        <v>98</v>
      </c>
      <c r="C112" s="88">
        <f t="shared" ref="C112:N112" si="355">SUM(C103:C111)</f>
        <v>99.999999999999986</v>
      </c>
      <c r="D112" s="88">
        <f t="shared" si="355"/>
        <v>99.999999999999972</v>
      </c>
      <c r="E112" s="88">
        <f t="shared" si="355"/>
        <v>100.00000000000001</v>
      </c>
      <c r="F112" s="88">
        <f t="shared" si="355"/>
        <v>100</v>
      </c>
      <c r="G112" s="88">
        <f t="shared" si="355"/>
        <v>100</v>
      </c>
      <c r="H112" s="88">
        <f t="shared" si="355"/>
        <v>100.00000000000001</v>
      </c>
      <c r="I112" s="88">
        <f t="shared" si="355"/>
        <v>100</v>
      </c>
      <c r="J112" s="88">
        <f t="shared" si="355"/>
        <v>99.999999999999986</v>
      </c>
      <c r="K112" s="88">
        <f t="shared" si="355"/>
        <v>99.999999999999986</v>
      </c>
      <c r="L112" s="88">
        <f t="shared" si="355"/>
        <v>100</v>
      </c>
      <c r="M112" s="88">
        <f t="shared" si="355"/>
        <v>100.00000000000001</v>
      </c>
      <c r="N112" s="88">
        <f t="shared" si="355"/>
        <v>99.999999999999986</v>
      </c>
      <c r="O112" s="88">
        <f t="shared" ref="O112" si="356">SUM(O103:O111)</f>
        <v>100</v>
      </c>
      <c r="P112" s="88">
        <f t="shared" ref="P112:R112" si="357">SUM(P103:P111)</f>
        <v>100</v>
      </c>
      <c r="Q112" s="88">
        <f t="shared" si="357"/>
        <v>100.00000000000001</v>
      </c>
      <c r="R112" s="88">
        <f t="shared" si="357"/>
        <v>100</v>
      </c>
      <c r="S112" s="88">
        <f t="shared" ref="S112:U112" si="358">SUM(S103:S111)</f>
        <v>100.00000000000001</v>
      </c>
      <c r="T112" s="88">
        <f t="shared" si="358"/>
        <v>100</v>
      </c>
      <c r="U112" s="88">
        <f t="shared" si="358"/>
        <v>100</v>
      </c>
      <c r="V112" s="88">
        <f t="shared" ref="V112:X112" si="359">SUM(V103:V111)</f>
        <v>100</v>
      </c>
      <c r="W112" s="88">
        <f t="shared" si="359"/>
        <v>100</v>
      </c>
      <c r="X112" s="88">
        <f t="shared" si="359"/>
        <v>99.999999999999986</v>
      </c>
      <c r="Y112" s="88">
        <f t="shared" ref="Y112:AA112" si="360">SUM(Y103:Y111)</f>
        <v>99.999999999999986</v>
      </c>
      <c r="Z112" s="88">
        <f t="shared" si="360"/>
        <v>100</v>
      </c>
      <c r="AA112" s="88">
        <f t="shared" si="360"/>
        <v>100</v>
      </c>
      <c r="AB112" s="88">
        <f t="shared" ref="AB112:AC112" si="361">SUM(AB103:AB111)</f>
        <v>100</v>
      </c>
      <c r="AC112" s="88">
        <f t="shared" si="361"/>
        <v>100</v>
      </c>
      <c r="AD112" s="33">
        <f t="shared" si="285"/>
        <v>100</v>
      </c>
      <c r="AE112" s="33">
        <f t="shared" si="286"/>
        <v>100</v>
      </c>
      <c r="AF112" s="33">
        <f t="shared" si="287"/>
        <v>100</v>
      </c>
      <c r="AG112" s="33">
        <f t="shared" si="288"/>
        <v>103.36215177713737</v>
      </c>
      <c r="AH112" s="33">
        <f t="shared" si="289"/>
        <v>76.5625</v>
      </c>
      <c r="AI112" s="33">
        <f t="shared" si="290"/>
        <v>101.80995475113122</v>
      </c>
    </row>
    <row r="113" spans="2:36" x14ac:dyDescent="0.25">
      <c r="B113" s="2" t="s">
        <v>99</v>
      </c>
      <c r="C113" s="34">
        <f>C128</f>
        <v>2628</v>
      </c>
      <c r="D113" s="33">
        <f t="shared" ref="D113:N113" si="362">D128</f>
        <v>137</v>
      </c>
      <c r="E113" s="34">
        <f t="shared" si="362"/>
        <v>2765</v>
      </c>
      <c r="F113" s="34">
        <f t="shared" si="362"/>
        <v>2651</v>
      </c>
      <c r="G113" s="33">
        <f t="shared" si="362"/>
        <v>140</v>
      </c>
      <c r="H113" s="34">
        <f t="shared" si="362"/>
        <v>2791</v>
      </c>
      <c r="I113" s="34">
        <f t="shared" si="362"/>
        <v>2764</v>
      </c>
      <c r="J113" s="33">
        <f t="shared" si="362"/>
        <v>187</v>
      </c>
      <c r="K113" s="34">
        <f t="shared" si="362"/>
        <v>2951</v>
      </c>
      <c r="L113" s="34">
        <f t="shared" si="362"/>
        <v>2584</v>
      </c>
      <c r="M113" s="33">
        <f>M128</f>
        <v>152</v>
      </c>
      <c r="N113" s="34">
        <f t="shared" si="362"/>
        <v>2736</v>
      </c>
      <c r="O113" s="34">
        <f t="shared" ref="O113" si="363">O128</f>
        <v>2488</v>
      </c>
      <c r="P113" s="33">
        <f>P128</f>
        <v>152</v>
      </c>
      <c r="Q113" s="34">
        <f t="shared" ref="Q113:R113" si="364">Q128</f>
        <v>2640</v>
      </c>
      <c r="R113" s="34">
        <f t="shared" si="364"/>
        <v>2334</v>
      </c>
      <c r="S113" s="33">
        <f>S128</f>
        <v>170</v>
      </c>
      <c r="T113" s="34">
        <f t="shared" ref="T113:U113" si="365">T128</f>
        <v>2504</v>
      </c>
      <c r="U113" s="34">
        <f t="shared" si="365"/>
        <v>2258</v>
      </c>
      <c r="V113" s="33">
        <f>V128</f>
        <v>139</v>
      </c>
      <c r="W113" s="34">
        <f t="shared" ref="W113:X113" si="366">W128</f>
        <v>2397</v>
      </c>
      <c r="X113" s="34">
        <f t="shared" si="366"/>
        <v>2552</v>
      </c>
      <c r="Y113" s="33">
        <f>Y128</f>
        <v>152</v>
      </c>
      <c r="Z113" s="34">
        <f t="shared" ref="Z113:AA113" si="367">Z128</f>
        <v>2704</v>
      </c>
      <c r="AA113" s="34">
        <f t="shared" si="367"/>
        <v>2463</v>
      </c>
      <c r="AB113" s="33">
        <f>AB128</f>
        <v>153</v>
      </c>
      <c r="AC113" s="34">
        <f>AC128</f>
        <v>2616</v>
      </c>
      <c r="AD113" s="34">
        <f t="shared" ref="AD113" si="368">AD128</f>
        <v>2082</v>
      </c>
      <c r="AE113" s="33">
        <f>AE128</f>
        <v>128</v>
      </c>
      <c r="AF113" s="34">
        <f>AF128</f>
        <v>2210</v>
      </c>
      <c r="AG113" s="34">
        <f t="shared" ref="AG113" si="369">AG128</f>
        <v>2152</v>
      </c>
      <c r="AH113" s="33">
        <f>AH128</f>
        <v>98</v>
      </c>
      <c r="AI113" s="34">
        <f>AI128</f>
        <v>2250</v>
      </c>
    </row>
    <row r="114" spans="2:36" x14ac:dyDescent="0.25">
      <c r="B114" s="22"/>
      <c r="C114" s="3"/>
      <c r="D114" s="3"/>
      <c r="E114" s="3"/>
      <c r="F114" s="3"/>
      <c r="G114" s="3"/>
      <c r="H114" s="3"/>
      <c r="I114" s="3"/>
      <c r="J114" s="3"/>
      <c r="K114" s="3"/>
      <c r="L114" s="3"/>
      <c r="M114" s="3"/>
      <c r="N114" s="3"/>
    </row>
    <row r="115" spans="2:36" x14ac:dyDescent="0.25">
      <c r="B115" s="65" t="s">
        <v>288</v>
      </c>
      <c r="C115" s="3"/>
      <c r="D115" s="3"/>
      <c r="E115" s="3"/>
      <c r="F115" s="3"/>
      <c r="G115" s="3"/>
      <c r="H115" s="3"/>
      <c r="I115" s="3"/>
      <c r="J115" s="3"/>
      <c r="K115" s="3"/>
      <c r="L115" s="3"/>
      <c r="M115" s="3"/>
      <c r="N115" s="3"/>
    </row>
    <row r="116" spans="2:36" x14ac:dyDescent="0.25">
      <c r="B116" s="11"/>
      <c r="C116" s="3"/>
      <c r="D116" s="3"/>
      <c r="E116" s="3"/>
      <c r="F116" s="3"/>
      <c r="G116" s="3"/>
      <c r="H116" s="3"/>
      <c r="I116" s="3"/>
      <c r="J116" s="3"/>
      <c r="K116" s="3"/>
      <c r="L116" s="3"/>
      <c r="M116" s="3"/>
      <c r="N116" s="3"/>
    </row>
    <row r="117" spans="2:36" x14ac:dyDescent="0.25">
      <c r="B117" s="11"/>
      <c r="C117" s="3"/>
      <c r="D117" s="3"/>
      <c r="E117" s="3"/>
      <c r="F117" s="3"/>
      <c r="G117" s="3"/>
      <c r="H117" s="3"/>
      <c r="I117" s="3"/>
      <c r="J117" s="3"/>
      <c r="K117" s="3"/>
      <c r="L117" s="3"/>
      <c r="M117" s="3"/>
      <c r="N117" s="3"/>
    </row>
    <row r="118" spans="2:36" x14ac:dyDescent="0.25">
      <c r="B118" s="32" t="s">
        <v>102</v>
      </c>
      <c r="C118" s="3"/>
      <c r="D118" s="3"/>
      <c r="E118" s="3"/>
      <c r="F118" s="3"/>
      <c r="G118" s="3"/>
      <c r="H118" s="3"/>
      <c r="I118" s="3"/>
      <c r="J118" s="3"/>
      <c r="K118" s="3"/>
      <c r="L118" s="3"/>
      <c r="M118" s="3"/>
      <c r="N118" s="3"/>
    </row>
    <row r="119" spans="2:36" x14ac:dyDescent="0.25">
      <c r="B119" s="2" t="s">
        <v>89</v>
      </c>
      <c r="C119" s="33">
        <v>176</v>
      </c>
      <c r="D119" s="33">
        <v>13</v>
      </c>
      <c r="E119" s="33">
        <f>C119+D119</f>
        <v>189</v>
      </c>
      <c r="F119" s="33">
        <v>187</v>
      </c>
      <c r="G119" s="33">
        <v>15</v>
      </c>
      <c r="H119" s="33">
        <f>F119+G119</f>
        <v>202</v>
      </c>
      <c r="I119" s="33">
        <v>189</v>
      </c>
      <c r="J119" s="33">
        <v>18</v>
      </c>
      <c r="K119" s="33">
        <f>I119+J119</f>
        <v>207</v>
      </c>
      <c r="L119" s="33">
        <v>193</v>
      </c>
      <c r="M119" s="33">
        <v>19</v>
      </c>
      <c r="N119" s="33">
        <f t="shared" ref="N119:N127" si="370">L119+M119</f>
        <v>212</v>
      </c>
      <c r="O119" s="2">
        <v>210</v>
      </c>
      <c r="P119" s="2">
        <v>20</v>
      </c>
      <c r="Q119" s="33">
        <f t="shared" ref="Q119:Q127" si="371">O119+P119</f>
        <v>230</v>
      </c>
      <c r="R119" s="2">
        <v>203</v>
      </c>
      <c r="S119" s="2">
        <v>21</v>
      </c>
      <c r="T119" s="33">
        <f t="shared" ref="T119:T126" si="372">R119+S119</f>
        <v>224</v>
      </c>
      <c r="U119" s="2">
        <v>228</v>
      </c>
      <c r="V119" s="2">
        <v>25</v>
      </c>
      <c r="W119" s="33">
        <f t="shared" ref="W119:W127" si="373">U119+V119</f>
        <v>253</v>
      </c>
      <c r="X119" s="2">
        <v>230</v>
      </c>
      <c r="Y119" s="2">
        <v>28</v>
      </c>
      <c r="Z119" s="33">
        <v>258</v>
      </c>
      <c r="AA119" s="2">
        <v>240</v>
      </c>
      <c r="AB119" s="2">
        <v>24</v>
      </c>
      <c r="AC119" s="33">
        <f t="shared" ref="AC119:AC128" si="374">AB119+AA119</f>
        <v>264</v>
      </c>
      <c r="AD119" s="2">
        <v>207</v>
      </c>
      <c r="AE119" s="2">
        <v>22</v>
      </c>
      <c r="AF119" s="33">
        <v>229</v>
      </c>
      <c r="AG119" s="2">
        <v>208</v>
      </c>
      <c r="AH119" s="2">
        <v>19</v>
      </c>
      <c r="AI119" s="33">
        <v>227</v>
      </c>
      <c r="AJ119" s="157"/>
    </row>
    <row r="120" spans="2:36" x14ac:dyDescent="0.25">
      <c r="B120" s="2" t="s">
        <v>90</v>
      </c>
      <c r="C120" s="33">
        <v>474</v>
      </c>
      <c r="D120" s="33">
        <v>22</v>
      </c>
      <c r="E120" s="33">
        <f t="shared" ref="E120:E127" si="375">C120+D120</f>
        <v>496</v>
      </c>
      <c r="F120" s="33">
        <v>428</v>
      </c>
      <c r="G120" s="33">
        <v>20</v>
      </c>
      <c r="H120" s="33">
        <f t="shared" ref="H120:H127" si="376">F120+G120</f>
        <v>448</v>
      </c>
      <c r="I120" s="33">
        <v>437</v>
      </c>
      <c r="J120" s="33">
        <v>27</v>
      </c>
      <c r="K120" s="33">
        <f t="shared" ref="K120:K127" si="377">I120+J120</f>
        <v>464</v>
      </c>
      <c r="L120" s="33">
        <v>375</v>
      </c>
      <c r="M120" s="33">
        <v>22</v>
      </c>
      <c r="N120" s="33">
        <f t="shared" si="370"/>
        <v>397</v>
      </c>
      <c r="O120" s="2">
        <v>369</v>
      </c>
      <c r="P120" s="2">
        <v>24</v>
      </c>
      <c r="Q120" s="33">
        <f t="shared" si="371"/>
        <v>393</v>
      </c>
      <c r="R120" s="2">
        <v>349</v>
      </c>
      <c r="S120" s="2">
        <v>22</v>
      </c>
      <c r="T120" s="33">
        <f t="shared" si="372"/>
        <v>371</v>
      </c>
      <c r="U120" s="2">
        <v>345</v>
      </c>
      <c r="V120" s="2">
        <v>15</v>
      </c>
      <c r="W120" s="33">
        <f t="shared" si="373"/>
        <v>360</v>
      </c>
      <c r="X120" s="2">
        <v>377</v>
      </c>
      <c r="Y120" s="2">
        <v>21</v>
      </c>
      <c r="Z120" s="33">
        <v>398</v>
      </c>
      <c r="AA120" s="2">
        <v>253</v>
      </c>
      <c r="AB120" s="2">
        <v>14</v>
      </c>
      <c r="AC120" s="33">
        <f t="shared" si="374"/>
        <v>267</v>
      </c>
      <c r="AD120" s="2">
        <v>207</v>
      </c>
      <c r="AE120" s="2">
        <v>9</v>
      </c>
      <c r="AF120" s="33">
        <v>216</v>
      </c>
      <c r="AG120" s="2">
        <v>448</v>
      </c>
      <c r="AH120" s="2">
        <v>10</v>
      </c>
      <c r="AI120" s="33">
        <v>458</v>
      </c>
      <c r="AJ120" s="157"/>
    </row>
    <row r="121" spans="2:36" x14ac:dyDescent="0.25">
      <c r="B121" s="2" t="s">
        <v>91</v>
      </c>
      <c r="C121" s="33">
        <v>607</v>
      </c>
      <c r="D121" s="33">
        <v>34</v>
      </c>
      <c r="E121" s="33">
        <f t="shared" si="375"/>
        <v>641</v>
      </c>
      <c r="F121" s="33">
        <v>666</v>
      </c>
      <c r="G121" s="33">
        <v>42</v>
      </c>
      <c r="H121" s="33">
        <f t="shared" si="376"/>
        <v>708</v>
      </c>
      <c r="I121" s="33">
        <v>693</v>
      </c>
      <c r="J121" s="33">
        <v>41</v>
      </c>
      <c r="K121" s="33">
        <f t="shared" si="377"/>
        <v>734</v>
      </c>
      <c r="L121" s="33">
        <v>656</v>
      </c>
      <c r="M121" s="33">
        <v>31</v>
      </c>
      <c r="N121" s="33">
        <f t="shared" si="370"/>
        <v>687</v>
      </c>
      <c r="O121" s="2">
        <v>619</v>
      </c>
      <c r="P121" s="2">
        <v>41</v>
      </c>
      <c r="Q121" s="33">
        <f t="shared" si="371"/>
        <v>660</v>
      </c>
      <c r="R121" s="2">
        <v>543</v>
      </c>
      <c r="S121" s="2">
        <v>41</v>
      </c>
      <c r="T121" s="33">
        <f t="shared" si="372"/>
        <v>584</v>
      </c>
      <c r="U121" s="2">
        <v>538</v>
      </c>
      <c r="V121" s="2">
        <v>38</v>
      </c>
      <c r="W121" s="33">
        <f t="shared" si="373"/>
        <v>576</v>
      </c>
      <c r="X121" s="2">
        <v>581</v>
      </c>
      <c r="Y121" s="2">
        <v>28</v>
      </c>
      <c r="Z121" s="33">
        <v>609</v>
      </c>
      <c r="AA121" s="2">
        <v>505</v>
      </c>
      <c r="AB121" s="2">
        <v>36</v>
      </c>
      <c r="AC121" s="33">
        <f t="shared" si="374"/>
        <v>541</v>
      </c>
      <c r="AD121" s="1">
        <v>413</v>
      </c>
      <c r="AE121" s="1">
        <v>26</v>
      </c>
      <c r="AF121" s="33">
        <v>439</v>
      </c>
      <c r="AG121" s="1">
        <v>453</v>
      </c>
      <c r="AH121" s="1">
        <v>21</v>
      </c>
      <c r="AI121" s="33">
        <v>474</v>
      </c>
      <c r="AJ121" s="157"/>
    </row>
    <row r="122" spans="2:36" x14ac:dyDescent="0.25">
      <c r="B122" s="2" t="s">
        <v>92</v>
      </c>
      <c r="C122" s="33">
        <v>285</v>
      </c>
      <c r="D122" s="33">
        <v>20</v>
      </c>
      <c r="E122" s="33">
        <f t="shared" si="375"/>
        <v>305</v>
      </c>
      <c r="F122" s="33">
        <v>217</v>
      </c>
      <c r="G122" s="33">
        <v>13</v>
      </c>
      <c r="H122" s="33">
        <f t="shared" si="376"/>
        <v>230</v>
      </c>
      <c r="I122" s="33">
        <v>228</v>
      </c>
      <c r="J122" s="33">
        <v>21</v>
      </c>
      <c r="K122" s="33">
        <f t="shared" si="377"/>
        <v>249</v>
      </c>
      <c r="L122" s="33">
        <v>195</v>
      </c>
      <c r="M122" s="33">
        <v>7</v>
      </c>
      <c r="N122" s="33">
        <f t="shared" si="370"/>
        <v>202</v>
      </c>
      <c r="O122" s="2">
        <v>142</v>
      </c>
      <c r="P122" s="2">
        <v>12</v>
      </c>
      <c r="Q122" s="33">
        <f t="shared" si="371"/>
        <v>154</v>
      </c>
      <c r="R122" s="2">
        <v>110</v>
      </c>
      <c r="S122" s="2">
        <v>13</v>
      </c>
      <c r="T122" s="33">
        <f t="shared" si="372"/>
        <v>123</v>
      </c>
      <c r="U122" s="2">
        <v>69</v>
      </c>
      <c r="V122" s="2">
        <v>5</v>
      </c>
      <c r="W122" s="33">
        <f t="shared" si="373"/>
        <v>74</v>
      </c>
      <c r="X122" s="2">
        <v>97</v>
      </c>
      <c r="Y122" s="2">
        <v>4</v>
      </c>
      <c r="Z122" s="33">
        <v>101</v>
      </c>
      <c r="AA122" s="1">
        <v>83</v>
      </c>
      <c r="AB122" s="1">
        <v>8</v>
      </c>
      <c r="AC122" s="33">
        <f t="shared" si="374"/>
        <v>91</v>
      </c>
      <c r="AD122" s="2">
        <v>63</v>
      </c>
      <c r="AE122" s="2">
        <v>10</v>
      </c>
      <c r="AF122" s="33">
        <v>73</v>
      </c>
      <c r="AG122" s="2">
        <v>81</v>
      </c>
      <c r="AH122" s="2">
        <v>7</v>
      </c>
      <c r="AI122" s="33">
        <v>88</v>
      </c>
      <c r="AJ122" s="157"/>
    </row>
    <row r="123" spans="2:36" x14ac:dyDescent="0.25">
      <c r="B123" s="2" t="s">
        <v>93</v>
      </c>
      <c r="C123" s="33">
        <v>160</v>
      </c>
      <c r="D123" s="33">
        <v>2</v>
      </c>
      <c r="E123" s="33">
        <f t="shared" si="375"/>
        <v>162</v>
      </c>
      <c r="F123" s="33">
        <v>113</v>
      </c>
      <c r="G123" s="33">
        <v>1</v>
      </c>
      <c r="H123" s="33">
        <f t="shared" si="376"/>
        <v>114</v>
      </c>
      <c r="I123" s="33">
        <v>107</v>
      </c>
      <c r="J123" s="33">
        <v>1</v>
      </c>
      <c r="K123" s="33">
        <f t="shared" si="377"/>
        <v>108</v>
      </c>
      <c r="L123" s="33">
        <v>93</v>
      </c>
      <c r="M123" s="33">
        <v>3</v>
      </c>
      <c r="N123" s="33">
        <f t="shared" si="370"/>
        <v>96</v>
      </c>
      <c r="O123" s="2">
        <v>99</v>
      </c>
      <c r="P123" s="2">
        <v>5</v>
      </c>
      <c r="Q123" s="33">
        <f t="shared" si="371"/>
        <v>104</v>
      </c>
      <c r="R123" s="2">
        <v>89</v>
      </c>
      <c r="S123" s="2">
        <v>3</v>
      </c>
      <c r="T123" s="33">
        <f t="shared" si="372"/>
        <v>92</v>
      </c>
      <c r="U123" s="2">
        <v>97</v>
      </c>
      <c r="V123" s="2">
        <v>4</v>
      </c>
      <c r="W123" s="33">
        <f t="shared" si="373"/>
        <v>101</v>
      </c>
      <c r="X123" s="2">
        <v>88</v>
      </c>
      <c r="Y123" s="2">
        <v>5</v>
      </c>
      <c r="Z123" s="33">
        <v>93</v>
      </c>
      <c r="AA123" s="2">
        <v>91</v>
      </c>
      <c r="AB123" s="2">
        <v>4</v>
      </c>
      <c r="AC123" s="33">
        <f t="shared" si="374"/>
        <v>95</v>
      </c>
      <c r="AD123" s="2">
        <v>66</v>
      </c>
      <c r="AE123" s="2">
        <v>4</v>
      </c>
      <c r="AF123" s="33">
        <v>70</v>
      </c>
      <c r="AG123" s="2">
        <v>99</v>
      </c>
      <c r="AH123" s="2">
        <v>3</v>
      </c>
      <c r="AI123" s="33">
        <v>102</v>
      </c>
      <c r="AJ123" s="157"/>
    </row>
    <row r="124" spans="2:36" x14ac:dyDescent="0.25">
      <c r="B124" s="2" t="s">
        <v>94</v>
      </c>
      <c r="C124" s="33">
        <v>437</v>
      </c>
      <c r="D124" s="33">
        <v>2</v>
      </c>
      <c r="E124" s="33">
        <f t="shared" si="375"/>
        <v>439</v>
      </c>
      <c r="F124" s="33">
        <v>504</v>
      </c>
      <c r="G124" s="33">
        <v>3</v>
      </c>
      <c r="H124" s="33">
        <f t="shared" si="376"/>
        <v>507</v>
      </c>
      <c r="I124" s="33">
        <v>487</v>
      </c>
      <c r="J124" s="33">
        <v>5</v>
      </c>
      <c r="K124" s="33">
        <f t="shared" si="377"/>
        <v>492</v>
      </c>
      <c r="L124" s="33">
        <v>485</v>
      </c>
      <c r="M124" s="33">
        <v>6</v>
      </c>
      <c r="N124" s="33">
        <f t="shared" si="370"/>
        <v>491</v>
      </c>
      <c r="O124" s="2">
        <v>550</v>
      </c>
      <c r="P124" s="2">
        <v>6</v>
      </c>
      <c r="Q124" s="33">
        <f t="shared" si="371"/>
        <v>556</v>
      </c>
      <c r="R124" s="2">
        <v>586</v>
      </c>
      <c r="S124" s="2">
        <v>9</v>
      </c>
      <c r="T124" s="33">
        <f t="shared" si="372"/>
        <v>595</v>
      </c>
      <c r="U124" s="2">
        <v>605</v>
      </c>
      <c r="V124" s="2">
        <v>6</v>
      </c>
      <c r="W124" s="33">
        <f t="shared" si="373"/>
        <v>611</v>
      </c>
      <c r="X124" s="2">
        <v>734</v>
      </c>
      <c r="Y124" s="2">
        <v>7</v>
      </c>
      <c r="Z124" s="33">
        <v>741</v>
      </c>
      <c r="AA124" s="2">
        <v>714</v>
      </c>
      <c r="AB124" s="2">
        <v>7</v>
      </c>
      <c r="AC124" s="33">
        <f t="shared" si="374"/>
        <v>721</v>
      </c>
      <c r="AD124" s="2">
        <v>702</v>
      </c>
      <c r="AE124" s="2">
        <v>10</v>
      </c>
      <c r="AF124" s="33">
        <v>712</v>
      </c>
      <c r="AG124" s="2">
        <v>405</v>
      </c>
      <c r="AH124" s="2">
        <v>6</v>
      </c>
      <c r="AI124" s="33">
        <v>411</v>
      </c>
      <c r="AJ124" s="157"/>
    </row>
    <row r="125" spans="2:36" x14ac:dyDescent="0.25">
      <c r="B125" s="2" t="s">
        <v>95</v>
      </c>
      <c r="C125" s="33">
        <v>102</v>
      </c>
      <c r="D125" s="33">
        <v>19</v>
      </c>
      <c r="E125" s="33">
        <f t="shared" si="375"/>
        <v>121</v>
      </c>
      <c r="F125" s="33">
        <v>142</v>
      </c>
      <c r="G125" s="33">
        <v>18</v>
      </c>
      <c r="H125" s="33">
        <f t="shared" si="376"/>
        <v>160</v>
      </c>
      <c r="I125" s="33">
        <v>196</v>
      </c>
      <c r="J125" s="33">
        <v>27</v>
      </c>
      <c r="K125" s="33">
        <f t="shared" si="377"/>
        <v>223</v>
      </c>
      <c r="L125" s="33">
        <v>171</v>
      </c>
      <c r="M125" s="33">
        <v>21</v>
      </c>
      <c r="N125" s="33">
        <f t="shared" si="370"/>
        <v>192</v>
      </c>
      <c r="O125" s="2">
        <v>148</v>
      </c>
      <c r="P125" s="2">
        <v>16</v>
      </c>
      <c r="Q125" s="33">
        <f t="shared" si="371"/>
        <v>164</v>
      </c>
      <c r="R125" s="2">
        <v>134</v>
      </c>
      <c r="S125" s="2">
        <v>18</v>
      </c>
      <c r="T125" s="33">
        <f t="shared" si="372"/>
        <v>152</v>
      </c>
      <c r="U125" s="2">
        <v>117</v>
      </c>
      <c r="V125" s="2">
        <v>11</v>
      </c>
      <c r="W125" s="33">
        <f t="shared" si="373"/>
        <v>128</v>
      </c>
      <c r="X125" s="2">
        <v>128</v>
      </c>
      <c r="Y125" s="2">
        <v>18</v>
      </c>
      <c r="Z125" s="33">
        <v>146</v>
      </c>
      <c r="AA125" s="2">
        <v>129</v>
      </c>
      <c r="AB125" s="2">
        <v>9</v>
      </c>
      <c r="AC125" s="33">
        <f t="shared" si="374"/>
        <v>138</v>
      </c>
      <c r="AD125" s="2">
        <v>101</v>
      </c>
      <c r="AE125" s="2">
        <v>10</v>
      </c>
      <c r="AF125" s="33">
        <v>111</v>
      </c>
      <c r="AG125" s="2">
        <v>115</v>
      </c>
      <c r="AH125" s="2">
        <v>6</v>
      </c>
      <c r="AI125" s="33">
        <v>121</v>
      </c>
      <c r="AJ125" s="157"/>
    </row>
    <row r="126" spans="2:36" x14ac:dyDescent="0.25">
      <c r="B126" s="2" t="s">
        <v>96</v>
      </c>
      <c r="C126" s="33">
        <v>103</v>
      </c>
      <c r="D126" s="33">
        <v>9</v>
      </c>
      <c r="E126" s="33">
        <f t="shared" si="375"/>
        <v>112</v>
      </c>
      <c r="F126" s="33">
        <v>91</v>
      </c>
      <c r="G126" s="33">
        <v>5</v>
      </c>
      <c r="H126" s="33">
        <f t="shared" si="376"/>
        <v>96</v>
      </c>
      <c r="I126" s="33">
        <v>93</v>
      </c>
      <c r="J126" s="33">
        <v>15</v>
      </c>
      <c r="K126" s="33">
        <f t="shared" si="377"/>
        <v>108</v>
      </c>
      <c r="L126" s="33">
        <v>84</v>
      </c>
      <c r="M126" s="33">
        <v>10</v>
      </c>
      <c r="N126" s="33">
        <f t="shared" si="370"/>
        <v>94</v>
      </c>
      <c r="O126" s="2">
        <v>66</v>
      </c>
      <c r="P126" s="2">
        <v>7</v>
      </c>
      <c r="Q126" s="33">
        <f t="shared" si="371"/>
        <v>73</v>
      </c>
      <c r="R126" s="2">
        <v>67</v>
      </c>
      <c r="S126" s="2">
        <v>12</v>
      </c>
      <c r="T126" s="33">
        <f t="shared" si="372"/>
        <v>79</v>
      </c>
      <c r="U126" s="2">
        <v>76</v>
      </c>
      <c r="V126" s="2">
        <v>14</v>
      </c>
      <c r="W126" s="33">
        <f t="shared" si="373"/>
        <v>90</v>
      </c>
      <c r="X126" s="2">
        <v>75</v>
      </c>
      <c r="Y126" s="2">
        <v>10</v>
      </c>
      <c r="Z126" s="33">
        <v>85</v>
      </c>
      <c r="AA126" s="2">
        <v>119</v>
      </c>
      <c r="AB126" s="2">
        <v>15</v>
      </c>
      <c r="AC126" s="33">
        <f t="shared" si="374"/>
        <v>134</v>
      </c>
      <c r="AD126" s="2">
        <v>73</v>
      </c>
      <c r="AE126" s="2">
        <v>11</v>
      </c>
      <c r="AF126" s="33">
        <v>84</v>
      </c>
      <c r="AG126" s="2">
        <v>82</v>
      </c>
      <c r="AH126" s="2">
        <v>11</v>
      </c>
      <c r="AI126" s="33">
        <v>93</v>
      </c>
      <c r="AJ126" s="157"/>
    </row>
    <row r="127" spans="2:36" x14ac:dyDescent="0.25">
      <c r="B127" s="2" t="s">
        <v>97</v>
      </c>
      <c r="C127" s="33">
        <v>284</v>
      </c>
      <c r="D127" s="33">
        <v>16</v>
      </c>
      <c r="E127" s="33">
        <f t="shared" si="375"/>
        <v>300</v>
      </c>
      <c r="F127" s="33">
        <v>303</v>
      </c>
      <c r="G127" s="33">
        <v>23</v>
      </c>
      <c r="H127" s="33">
        <f t="shared" si="376"/>
        <v>326</v>
      </c>
      <c r="I127" s="33">
        <v>334</v>
      </c>
      <c r="J127" s="33">
        <v>32</v>
      </c>
      <c r="K127" s="33">
        <f t="shared" si="377"/>
        <v>366</v>
      </c>
      <c r="L127" s="33">
        <v>332</v>
      </c>
      <c r="M127" s="33">
        <v>33</v>
      </c>
      <c r="N127" s="33">
        <f t="shared" si="370"/>
        <v>365</v>
      </c>
      <c r="O127" s="2">
        <v>285</v>
      </c>
      <c r="P127" s="2">
        <v>21</v>
      </c>
      <c r="Q127" s="33">
        <f t="shared" si="371"/>
        <v>306</v>
      </c>
      <c r="R127" s="2">
        <v>253</v>
      </c>
      <c r="S127" s="2">
        <v>31</v>
      </c>
      <c r="T127" s="33">
        <f>R127+S127</f>
        <v>284</v>
      </c>
      <c r="U127" s="2">
        <v>183</v>
      </c>
      <c r="V127" s="2">
        <v>21</v>
      </c>
      <c r="W127" s="33">
        <f t="shared" si="373"/>
        <v>204</v>
      </c>
      <c r="X127" s="2">
        <v>242</v>
      </c>
      <c r="Y127" s="2">
        <v>31</v>
      </c>
      <c r="Z127" s="33">
        <v>273</v>
      </c>
      <c r="AA127" s="2">
        <v>329</v>
      </c>
      <c r="AB127" s="2">
        <v>36</v>
      </c>
      <c r="AC127" s="33">
        <f t="shared" si="374"/>
        <v>365</v>
      </c>
      <c r="AD127" s="10">
        <v>250</v>
      </c>
      <c r="AE127" s="10">
        <v>26</v>
      </c>
      <c r="AF127" s="33">
        <v>276</v>
      </c>
      <c r="AG127" s="10">
        <v>261</v>
      </c>
      <c r="AH127" s="10">
        <v>15</v>
      </c>
      <c r="AI127" s="33">
        <v>276</v>
      </c>
      <c r="AJ127" s="157"/>
    </row>
    <row r="128" spans="2:36" x14ac:dyDescent="0.25">
      <c r="C128" s="34">
        <f t="shared" ref="C128:E128" si="378">SUM(C119:C127)</f>
        <v>2628</v>
      </c>
      <c r="D128" s="33">
        <f t="shared" si="378"/>
        <v>137</v>
      </c>
      <c r="E128" s="34">
        <f t="shared" si="378"/>
        <v>2765</v>
      </c>
      <c r="F128" s="34">
        <f>SUM(F119:F127)</f>
        <v>2651</v>
      </c>
      <c r="G128" s="33">
        <f>SUM(G119:G127)</f>
        <v>140</v>
      </c>
      <c r="H128" s="34">
        <f t="shared" ref="H128" si="379">SUM(H119:H127)</f>
        <v>2791</v>
      </c>
      <c r="I128" s="34">
        <f>SUM(I119:I127)</f>
        <v>2764</v>
      </c>
      <c r="J128" s="33">
        <f>SUM(J119:J127)</f>
        <v>187</v>
      </c>
      <c r="K128" s="34">
        <f t="shared" ref="K128" si="380">SUM(K119:K127)</f>
        <v>2951</v>
      </c>
      <c r="L128" s="34">
        <f>SUM(L119:L127)</f>
        <v>2584</v>
      </c>
      <c r="M128" s="33">
        <f>SUM(M119:M127)</f>
        <v>152</v>
      </c>
      <c r="N128" s="34">
        <f t="shared" ref="N128" si="381">SUM(N119:N127)</f>
        <v>2736</v>
      </c>
      <c r="O128" s="10">
        <f>SUM(O119:O127)</f>
        <v>2488</v>
      </c>
      <c r="P128" s="2">
        <f>SUM(P119:P127)</f>
        <v>152</v>
      </c>
      <c r="Q128" s="34">
        <f t="shared" ref="Q128" si="382">SUM(Q119:Q127)</f>
        <v>2640</v>
      </c>
      <c r="R128" s="10">
        <f>SUM(R119:R127)</f>
        <v>2334</v>
      </c>
      <c r="S128" s="2">
        <f>SUM(S119:S127)</f>
        <v>170</v>
      </c>
      <c r="T128" s="34">
        <f t="shared" ref="T128" si="383">SUM(T119:T127)</f>
        <v>2504</v>
      </c>
      <c r="U128" s="10">
        <f>SUM(U119:U127)</f>
        <v>2258</v>
      </c>
      <c r="V128" s="2">
        <f>SUM(V119:V127)</f>
        <v>139</v>
      </c>
      <c r="W128" s="34">
        <f t="shared" ref="W128" si="384">SUM(W119:W127)</f>
        <v>2397</v>
      </c>
      <c r="X128" s="10">
        <v>2552</v>
      </c>
      <c r="Y128" s="2">
        <v>152</v>
      </c>
      <c r="Z128" s="34">
        <v>2704</v>
      </c>
      <c r="AA128" s="10">
        <f>SUM(AA119:AA127)</f>
        <v>2463</v>
      </c>
      <c r="AB128" s="10">
        <f>SUM(AB119:AB127)</f>
        <v>153</v>
      </c>
      <c r="AC128" s="33">
        <f t="shared" si="374"/>
        <v>2616</v>
      </c>
      <c r="AD128" s="10">
        <v>2082</v>
      </c>
      <c r="AE128" s="10">
        <v>128</v>
      </c>
      <c r="AF128" s="33">
        <v>2210</v>
      </c>
      <c r="AG128" s="10">
        <f>SUM(AG119:AG127)</f>
        <v>2152</v>
      </c>
      <c r="AH128" s="10">
        <f>SUM(AH119:AH127)</f>
        <v>98</v>
      </c>
      <c r="AI128" s="33">
        <f t="shared" ref="AI128" si="385">AH128+AG128</f>
        <v>2250</v>
      </c>
      <c r="AJ128" s="157"/>
    </row>
    <row r="129" spans="2:36" x14ac:dyDescent="0.25">
      <c r="AJ129" s="157"/>
    </row>
    <row r="132" spans="2:36" ht="18.75" x14ac:dyDescent="0.3">
      <c r="B132" s="15" t="s">
        <v>127</v>
      </c>
      <c r="C132" s="165">
        <v>2014</v>
      </c>
      <c r="D132" s="165"/>
      <c r="E132" s="165"/>
      <c r="F132" s="165">
        <v>2015</v>
      </c>
      <c r="G132" s="165"/>
      <c r="H132" s="165"/>
      <c r="I132" s="165">
        <v>2016</v>
      </c>
      <c r="J132" s="165"/>
      <c r="K132" s="165"/>
      <c r="L132" s="165">
        <v>2017</v>
      </c>
      <c r="M132" s="165"/>
      <c r="N132" s="165"/>
      <c r="O132" s="165">
        <v>2018</v>
      </c>
      <c r="P132" s="165"/>
      <c r="Q132" s="165"/>
      <c r="R132" s="165">
        <v>2019</v>
      </c>
      <c r="S132" s="165"/>
      <c r="T132" s="165"/>
      <c r="U132" s="165">
        <v>2020</v>
      </c>
      <c r="V132" s="165"/>
      <c r="W132" s="165"/>
      <c r="X132" s="165">
        <v>2021</v>
      </c>
      <c r="Y132" s="165"/>
      <c r="Z132" s="165"/>
      <c r="AA132" s="165">
        <v>2022</v>
      </c>
      <c r="AB132" s="165"/>
      <c r="AC132" s="165"/>
      <c r="AD132" s="165">
        <v>2023</v>
      </c>
      <c r="AE132" s="165"/>
      <c r="AF132" s="165"/>
      <c r="AG132" s="165">
        <v>2024</v>
      </c>
      <c r="AH132" s="165"/>
      <c r="AI132" s="165"/>
    </row>
    <row r="133" spans="2:36" ht="18.75" x14ac:dyDescent="0.3">
      <c r="B133" s="17"/>
      <c r="C133" s="31" t="s">
        <v>100</v>
      </c>
      <c r="D133" s="31" t="s">
        <v>101</v>
      </c>
      <c r="E133" s="31" t="s">
        <v>80</v>
      </c>
      <c r="F133" s="31" t="s">
        <v>100</v>
      </c>
      <c r="G133" s="31" t="s">
        <v>101</v>
      </c>
      <c r="H133" s="31" t="s">
        <v>80</v>
      </c>
      <c r="I133" s="31" t="s">
        <v>100</v>
      </c>
      <c r="J133" s="31" t="s">
        <v>101</v>
      </c>
      <c r="K133" s="31" t="s">
        <v>80</v>
      </c>
      <c r="L133" s="31" t="s">
        <v>100</v>
      </c>
      <c r="M133" s="31" t="s">
        <v>101</v>
      </c>
      <c r="N133" s="31" t="s">
        <v>80</v>
      </c>
      <c r="O133" s="31" t="s">
        <v>100</v>
      </c>
      <c r="P133" s="31" t="s">
        <v>101</v>
      </c>
      <c r="Q133" s="31" t="s">
        <v>80</v>
      </c>
      <c r="R133" s="31" t="s">
        <v>100</v>
      </c>
      <c r="S133" s="31" t="s">
        <v>101</v>
      </c>
      <c r="T133" s="31" t="s">
        <v>80</v>
      </c>
      <c r="U133" s="31" t="s">
        <v>100</v>
      </c>
      <c r="V133" s="31" t="s">
        <v>101</v>
      </c>
      <c r="W133" s="31" t="s">
        <v>80</v>
      </c>
      <c r="X133" s="31" t="s">
        <v>100</v>
      </c>
      <c r="Y133" s="31" t="s">
        <v>101</v>
      </c>
      <c r="Z133" s="31" t="s">
        <v>80</v>
      </c>
      <c r="AA133" s="31" t="s">
        <v>100</v>
      </c>
      <c r="AB133" s="31" t="s">
        <v>101</v>
      </c>
      <c r="AC133" s="31" t="s">
        <v>80</v>
      </c>
      <c r="AD133" s="31" t="s">
        <v>100</v>
      </c>
      <c r="AE133" s="31" t="s">
        <v>101</v>
      </c>
      <c r="AF133" s="31" t="s">
        <v>80</v>
      </c>
      <c r="AG133" s="31" t="s">
        <v>100</v>
      </c>
      <c r="AH133" s="31" t="s">
        <v>101</v>
      </c>
      <c r="AI133" s="31" t="s">
        <v>80</v>
      </c>
    </row>
    <row r="134" spans="2:36" x14ac:dyDescent="0.25">
      <c r="B134" s="32" t="s">
        <v>245</v>
      </c>
    </row>
    <row r="135" spans="2:36" x14ac:dyDescent="0.25">
      <c r="B135" s="2" t="s">
        <v>89</v>
      </c>
      <c r="C135" s="33">
        <f t="shared" ref="C135" si="386">C151/C160*100</f>
        <v>13.270980788675429</v>
      </c>
      <c r="D135" s="33">
        <f>D151/D160*100</f>
        <v>10.59322033898305</v>
      </c>
      <c r="E135" s="33">
        <f t="shared" ref="E135" si="387">E151/E160*100</f>
        <v>13.120229007633588</v>
      </c>
      <c r="F135" s="33">
        <f>F151/F160*100</f>
        <v>13.650228774783935</v>
      </c>
      <c r="G135" s="33">
        <f>G151/G160*100</f>
        <v>12.612612612612612</v>
      </c>
      <c r="H135" s="33">
        <f t="shared" ref="H135" si="388">H151/H160*100</f>
        <v>13.594802694898942</v>
      </c>
      <c r="I135" s="33">
        <f t="shared" ref="I135:Q135" si="389">I151/I160*100</f>
        <v>14.37125748502994</v>
      </c>
      <c r="J135" s="33">
        <f t="shared" si="389"/>
        <v>12.015503875968992</v>
      </c>
      <c r="K135" s="33">
        <f t="shared" si="389"/>
        <v>14.222981214930472</v>
      </c>
      <c r="L135" s="33">
        <f t="shared" si="389"/>
        <v>15.771458662453924</v>
      </c>
      <c r="M135" s="33">
        <f t="shared" si="389"/>
        <v>13.524590163934427</v>
      </c>
      <c r="N135" s="33">
        <f t="shared" si="389"/>
        <v>15.635823849579417</v>
      </c>
      <c r="O135" s="33">
        <f t="shared" si="389"/>
        <v>15.149272144090798</v>
      </c>
      <c r="P135" s="33">
        <f t="shared" si="389"/>
        <v>15.811965811965811</v>
      </c>
      <c r="Q135" s="33">
        <f t="shared" si="389"/>
        <v>15.185444366689993</v>
      </c>
      <c r="R135" s="33">
        <f t="shared" ref="R135:T135" si="390">R151/R160*100</f>
        <v>14.363266229359873</v>
      </c>
      <c r="S135" s="33">
        <f t="shared" si="390"/>
        <v>14.909090909090908</v>
      </c>
      <c r="T135" s="33">
        <f t="shared" si="390"/>
        <v>14.395229982964224</v>
      </c>
      <c r="U135" s="33">
        <f t="shared" ref="U135:W135" si="391">U151/U160*100</f>
        <v>14.351081530782031</v>
      </c>
      <c r="V135" s="33">
        <f t="shared" si="391"/>
        <v>14.76510067114094</v>
      </c>
      <c r="W135" s="33">
        <f t="shared" si="391"/>
        <v>14.375244810027418</v>
      </c>
      <c r="X135" s="33">
        <f t="shared" ref="X135:Z135" si="392">X151/X160*100</f>
        <v>14.468654434250764</v>
      </c>
      <c r="Y135" s="33">
        <f t="shared" si="392"/>
        <v>17.589576547231271</v>
      </c>
      <c r="Z135" s="33">
        <f t="shared" si="392"/>
        <v>14.641632063549379</v>
      </c>
      <c r="AA135" s="33">
        <f t="shared" ref="AA135:AC135" si="393">AA151/AA160*100</f>
        <v>15.140719629497685</v>
      </c>
      <c r="AB135" s="33">
        <f t="shared" si="393"/>
        <v>16.897506925207757</v>
      </c>
      <c r="AC135" s="33">
        <f t="shared" si="393"/>
        <v>15.246861924686192</v>
      </c>
      <c r="AD135" s="33">
        <f t="shared" ref="AD135:AF135" si="394">AD151/AD160*100</f>
        <v>14.26337191116672</v>
      </c>
      <c r="AE135" s="33">
        <f t="shared" si="394"/>
        <v>14.492753623188406</v>
      </c>
      <c r="AF135" s="33">
        <f t="shared" si="394"/>
        <v>14.277320799059929</v>
      </c>
      <c r="AG135" s="33">
        <f t="shared" ref="AG135:AI135" si="395">AG151/AG160*100</f>
        <v>13.60184431787361</v>
      </c>
      <c r="AH135" s="33">
        <f t="shared" si="395"/>
        <v>12.769784172661872</v>
      </c>
      <c r="AI135" s="33">
        <f t="shared" si="395"/>
        <v>13.543505674653217</v>
      </c>
    </row>
    <row r="136" spans="2:36" x14ac:dyDescent="0.25">
      <c r="B136" s="2" t="s">
        <v>90</v>
      </c>
      <c r="C136" s="33">
        <f t="shared" ref="C136" si="396">C152/C160*100</f>
        <v>15.546006066734074</v>
      </c>
      <c r="D136" s="33">
        <f>D152/D160*100</f>
        <v>14.83050847457627</v>
      </c>
      <c r="E136" s="33">
        <f t="shared" ref="E136:F136" si="397">E152/E160*100</f>
        <v>15.505725190839694</v>
      </c>
      <c r="F136" s="33">
        <f t="shared" si="397"/>
        <v>15.378749364514487</v>
      </c>
      <c r="G136" s="33">
        <f>G152/G160*100</f>
        <v>14.864864864864865</v>
      </c>
      <c r="H136" s="33">
        <f t="shared" ref="H136:I136" si="398">H152/H160*100</f>
        <v>15.351299326275264</v>
      </c>
      <c r="I136" s="33">
        <f t="shared" si="398"/>
        <v>16.089560010413955</v>
      </c>
      <c r="J136" s="33">
        <f>J152/J160*100</f>
        <v>17.054263565891471</v>
      </c>
      <c r="K136" s="33">
        <f>K152/K160*100</f>
        <v>16.150280556233227</v>
      </c>
      <c r="L136" s="33">
        <f t="shared" ref="L136" si="399">L152/L160*100</f>
        <v>15.508162190626646</v>
      </c>
      <c r="M136" s="33">
        <f>M152/M160*100</f>
        <v>15.573770491803279</v>
      </c>
      <c r="N136" s="33">
        <f>N152/N160*100</f>
        <v>15.512122711528948</v>
      </c>
      <c r="O136" s="33">
        <f t="shared" ref="O136" si="400">O152/O160*100</f>
        <v>16.506291635825317</v>
      </c>
      <c r="P136" s="33">
        <f>P152/P160*100</f>
        <v>17.094017094017094</v>
      </c>
      <c r="Q136" s="33">
        <f>Q152/Q160*100</f>
        <v>16.5383718217868</v>
      </c>
      <c r="R136" s="33">
        <f t="shared" ref="R136" si="401">R152/R160*100</f>
        <v>16.738294503505994</v>
      </c>
      <c r="S136" s="33">
        <f>S152/S160*100</f>
        <v>14.181818181818182</v>
      </c>
      <c r="T136" s="33">
        <f>T152/T160*100</f>
        <v>16.588586030664395</v>
      </c>
      <c r="U136" s="33">
        <f t="shared" ref="U136" si="402">U152/U160*100</f>
        <v>17.179700499168053</v>
      </c>
      <c r="V136" s="33">
        <f>V152/V160*100</f>
        <v>18.120805369127517</v>
      </c>
      <c r="W136" s="33">
        <f>W152/W160*100</f>
        <v>17.234625930278106</v>
      </c>
      <c r="X136" s="33">
        <f t="shared" ref="X136" si="403">X152/X160*100</f>
        <v>16.418195718654435</v>
      </c>
      <c r="Y136" s="33">
        <f>Y152/Y160*100</f>
        <v>14.983713355048861</v>
      </c>
      <c r="Z136" s="33">
        <f>Z152/Z160*100</f>
        <v>16.338689294096405</v>
      </c>
      <c r="AA136" s="33">
        <f t="shared" ref="AA136" si="404">AA152/AA160*100</f>
        <v>15.995724973281083</v>
      </c>
      <c r="AB136" s="33">
        <f>AB152/AB160*100</f>
        <v>13.019390581717452</v>
      </c>
      <c r="AC136" s="33">
        <f>AC152/AC160*100</f>
        <v>15.81589958158996</v>
      </c>
      <c r="AD136" s="33">
        <f t="shared" ref="AD136" si="405">AD152/AD160*100</f>
        <v>16.202690021895528</v>
      </c>
      <c r="AE136" s="33">
        <f>AE152/AE160*100</f>
        <v>10.386473429951691</v>
      </c>
      <c r="AF136" s="33">
        <f>AF152/AF160*100</f>
        <v>15.849001175088132</v>
      </c>
      <c r="AG136" s="33">
        <f t="shared" ref="AG136" si="406">AG152/AG160*100</f>
        <v>15.690263086520206</v>
      </c>
      <c r="AH136" s="33">
        <f>AH152/AH160*100</f>
        <v>13.309352517985612</v>
      </c>
      <c r="AI136" s="33">
        <f>AI152/AI160*100</f>
        <v>15.523329129886507</v>
      </c>
    </row>
    <row r="137" spans="2:36" x14ac:dyDescent="0.25">
      <c r="B137" s="2" t="s">
        <v>91</v>
      </c>
      <c r="C137" s="33">
        <f t="shared" ref="C137:J137" si="407">C153/C160*100</f>
        <v>26.263902932254801</v>
      </c>
      <c r="D137" s="33">
        <f t="shared" si="407"/>
        <v>25.847457627118644</v>
      </c>
      <c r="E137" s="33">
        <f t="shared" si="407"/>
        <v>26.240458015267176</v>
      </c>
      <c r="F137" s="33">
        <f t="shared" si="407"/>
        <v>26.741230299949159</v>
      </c>
      <c r="G137" s="33">
        <f t="shared" si="407"/>
        <v>25.675675675675674</v>
      </c>
      <c r="H137" s="33">
        <f t="shared" si="407"/>
        <v>26.684311838306062</v>
      </c>
      <c r="I137" s="33">
        <f t="shared" si="407"/>
        <v>26.633689143452226</v>
      </c>
      <c r="J137" s="33">
        <f t="shared" si="407"/>
        <v>22.093023255813954</v>
      </c>
      <c r="K137" s="33">
        <f>K153/K160*100</f>
        <v>26.347889729202244</v>
      </c>
      <c r="L137" s="33">
        <f>L153/L160*100</f>
        <v>26.382306477093209</v>
      </c>
      <c r="M137" s="33">
        <f t="shared" ref="M137" si="408">M153/M160*100</f>
        <v>22.950819672131146</v>
      </c>
      <c r="N137" s="33">
        <f>N153/N160*100</f>
        <v>26.175160811479465</v>
      </c>
      <c r="O137" s="33">
        <f>O153/O160*100</f>
        <v>28.571428571428569</v>
      </c>
      <c r="P137" s="33">
        <f t="shared" ref="P137" si="409">P153/P160*100</f>
        <v>26.923076923076923</v>
      </c>
      <c r="Q137" s="33">
        <f>Q153/Q160*100</f>
        <v>28.481455563331</v>
      </c>
      <c r="R137" s="33">
        <f>R153/R160*100</f>
        <v>26.622935987333186</v>
      </c>
      <c r="S137" s="33">
        <f t="shared" ref="S137" si="410">S153/S160*100</f>
        <v>28.72727272727273</v>
      </c>
      <c r="T137" s="33">
        <f>T153/T160*100</f>
        <v>26.746166950596251</v>
      </c>
      <c r="U137" s="33">
        <f>U153/U160*100</f>
        <v>27.308652246256237</v>
      </c>
      <c r="V137" s="33">
        <f t="shared" ref="V137" si="411">V153/V160*100</f>
        <v>29.865771812080538</v>
      </c>
      <c r="W137" s="33">
        <f>W153/W160*100</f>
        <v>27.457892675283979</v>
      </c>
      <c r="X137" s="33">
        <f>X153/X160*100</f>
        <v>28.841743119266056</v>
      </c>
      <c r="Y137" s="33">
        <f t="shared" ref="Y137" si="412">Y153/Y160*100</f>
        <v>29.31596091205212</v>
      </c>
      <c r="Z137" s="33">
        <f>Z153/Z160*100</f>
        <v>28.868026719624478</v>
      </c>
      <c r="AA137" s="33">
        <f>AA153/AA160*100</f>
        <v>28.892055575347346</v>
      </c>
      <c r="AB137" s="33">
        <f t="shared" ref="AB137" si="413">AB153/AB160*100</f>
        <v>33.518005540166207</v>
      </c>
      <c r="AC137" s="33">
        <f>AC153/AC160*100</f>
        <v>29.17154811715481</v>
      </c>
      <c r="AD137" s="33">
        <f>AD153/AD160*100</f>
        <v>30.419142946512356</v>
      </c>
      <c r="AE137" s="33">
        <f t="shared" ref="AE137" si="414">AE153/AE160*100</f>
        <v>39.371980676328505</v>
      </c>
      <c r="AF137" s="33">
        <f>AF153/AF160*100</f>
        <v>30.963572267920092</v>
      </c>
      <c r="AG137" s="33">
        <f>AG153/AG160*100</f>
        <v>30.810957417954977</v>
      </c>
      <c r="AH137" s="33">
        <f t="shared" ref="AH137" si="415">AH153/AH160*100</f>
        <v>37.589928057553955</v>
      </c>
      <c r="AI137" s="33">
        <f>AI153/AI160*100</f>
        <v>31.286254728877676</v>
      </c>
    </row>
    <row r="138" spans="2:36" x14ac:dyDescent="0.25">
      <c r="B138" s="2" t="s">
        <v>92</v>
      </c>
      <c r="C138" s="33">
        <f t="shared" ref="C138:K138" si="416">C154/C160*100</f>
        <v>7.9373104145601614</v>
      </c>
      <c r="D138" s="33">
        <f t="shared" si="416"/>
        <v>13.983050847457626</v>
      </c>
      <c r="E138" s="33">
        <f t="shared" si="416"/>
        <v>8.2776717557251906</v>
      </c>
      <c r="F138" s="33">
        <f t="shared" si="416"/>
        <v>8.1087951194712762</v>
      </c>
      <c r="G138" s="33">
        <f t="shared" si="416"/>
        <v>13.513513513513514</v>
      </c>
      <c r="H138" s="33">
        <f t="shared" si="416"/>
        <v>8.3974975938402316</v>
      </c>
      <c r="I138" s="33">
        <f t="shared" si="416"/>
        <v>7.5240822702421246</v>
      </c>
      <c r="J138" s="33">
        <f t="shared" si="416"/>
        <v>13.953488372093023</v>
      </c>
      <c r="K138" s="33">
        <f t="shared" si="416"/>
        <v>7.9287631129543792</v>
      </c>
      <c r="L138" s="33">
        <f t="shared" ref="L138:N138" si="417">L154/L160*100</f>
        <v>7.4776197998946818</v>
      </c>
      <c r="M138" s="33">
        <f t="shared" si="417"/>
        <v>11.885245901639344</v>
      </c>
      <c r="N138" s="33">
        <f t="shared" si="417"/>
        <v>7.7436912419594259</v>
      </c>
      <c r="O138" s="33">
        <f t="shared" ref="O138:Q138" si="418">O154/O160*100</f>
        <v>6.9084628670120898</v>
      </c>
      <c r="P138" s="33">
        <f t="shared" si="418"/>
        <v>13.675213675213676</v>
      </c>
      <c r="Q138" s="33">
        <f t="shared" si="418"/>
        <v>7.2778166550034999</v>
      </c>
      <c r="R138" s="33">
        <f t="shared" ref="R138:T138" si="419">R154/R160*100</f>
        <v>6.0619769282967653</v>
      </c>
      <c r="S138" s="33">
        <f t="shared" si="419"/>
        <v>13.090909090909092</v>
      </c>
      <c r="T138" s="33">
        <f t="shared" si="419"/>
        <v>6.4735945485519588</v>
      </c>
      <c r="U138" s="33">
        <f t="shared" ref="U138:W138" si="420">U154/U160*100</f>
        <v>4.5965058236272878</v>
      </c>
      <c r="V138" s="33">
        <f t="shared" si="420"/>
        <v>8.3892617449664435</v>
      </c>
      <c r="W138" s="33">
        <f t="shared" si="420"/>
        <v>4.8178613396004701</v>
      </c>
      <c r="X138" s="33">
        <f t="shared" ref="X138:Z138" si="421">X154/X160*100</f>
        <v>3.7652905198776758</v>
      </c>
      <c r="Y138" s="33">
        <f t="shared" si="421"/>
        <v>7.8175895765472303</v>
      </c>
      <c r="Z138" s="33">
        <f t="shared" si="421"/>
        <v>3.9898898718180176</v>
      </c>
      <c r="AA138" s="33">
        <f t="shared" ref="AA138:AC138" si="422">AA154/AA160*100</f>
        <v>4.9697185607410042</v>
      </c>
      <c r="AB138" s="33">
        <f t="shared" si="422"/>
        <v>6.3711911357340725</v>
      </c>
      <c r="AC138" s="33">
        <f t="shared" si="422"/>
        <v>5.0543933054393309</v>
      </c>
      <c r="AD138" s="33">
        <f t="shared" ref="AD138:AF138" si="423">AD154/AD160*100</f>
        <v>4.1757898029402565</v>
      </c>
      <c r="AE138" s="33">
        <f t="shared" si="423"/>
        <v>8.9371980676328491</v>
      </c>
      <c r="AF138" s="33">
        <f t="shared" si="423"/>
        <v>4.4653349001175089</v>
      </c>
      <c r="AG138" s="33">
        <f t="shared" ref="AG138:AI138" si="424">AG154/AG160*100</f>
        <v>3.9462978030919444</v>
      </c>
      <c r="AH138" s="33">
        <f t="shared" si="424"/>
        <v>7.1942446043165464</v>
      </c>
      <c r="AI138" s="33">
        <f t="shared" si="424"/>
        <v>4.1740226986128626</v>
      </c>
    </row>
    <row r="139" spans="2:36" x14ac:dyDescent="0.25">
      <c r="B139" s="2" t="s">
        <v>93</v>
      </c>
      <c r="C139" s="33">
        <f t="shared" ref="C139:K139" si="425">C155/C160*100</f>
        <v>10.439838220424672</v>
      </c>
      <c r="D139" s="33">
        <f t="shared" si="425"/>
        <v>9.3220338983050848</v>
      </c>
      <c r="E139" s="33">
        <f t="shared" si="425"/>
        <v>10.376908396946565</v>
      </c>
      <c r="F139" s="33">
        <f t="shared" si="425"/>
        <v>10.421962379257753</v>
      </c>
      <c r="G139" s="33">
        <f t="shared" si="425"/>
        <v>8.1081081081081088</v>
      </c>
      <c r="H139" s="33">
        <f t="shared" si="425"/>
        <v>10.298363811357074</v>
      </c>
      <c r="I139" s="33">
        <f t="shared" si="425"/>
        <v>9.7891174173392344</v>
      </c>
      <c r="J139" s="33">
        <f t="shared" si="425"/>
        <v>6.5891472868217065</v>
      </c>
      <c r="K139" s="33">
        <f t="shared" si="425"/>
        <v>9.5877043181263719</v>
      </c>
      <c r="L139" s="33">
        <f t="shared" ref="L139:N139" si="426">L155/L160*100</f>
        <v>10.242232754081096</v>
      </c>
      <c r="M139" s="33">
        <f t="shared" si="426"/>
        <v>6.557377049180328</v>
      </c>
      <c r="N139" s="33">
        <f t="shared" si="426"/>
        <v>10.019792182088075</v>
      </c>
      <c r="O139" s="33">
        <f t="shared" ref="O139:Q139" si="427">O155/O160*100</f>
        <v>8.6355785837651116</v>
      </c>
      <c r="P139" s="33">
        <f t="shared" si="427"/>
        <v>5.1282051282051277</v>
      </c>
      <c r="Q139" s="33">
        <f t="shared" si="427"/>
        <v>8.4441334266386754</v>
      </c>
      <c r="R139" s="33">
        <f t="shared" ref="R139:T139" si="428">R155/R160*100</f>
        <v>8.5727211038226638</v>
      </c>
      <c r="S139" s="33">
        <f t="shared" si="428"/>
        <v>3.6363636363636362</v>
      </c>
      <c r="T139" s="33">
        <f t="shared" si="428"/>
        <v>8.2836456558773417</v>
      </c>
      <c r="U139" s="33">
        <f t="shared" ref="U139:W139" si="429">U155/U160*100</f>
        <v>9.484193011647255</v>
      </c>
      <c r="V139" s="33">
        <f t="shared" si="429"/>
        <v>5.7046979865771812</v>
      </c>
      <c r="W139" s="33">
        <f t="shared" si="429"/>
        <v>9.2636114375244816</v>
      </c>
      <c r="X139" s="33">
        <f t="shared" ref="X139:Z139" si="430">X155/X160*100</f>
        <v>8.3524464831804277</v>
      </c>
      <c r="Y139" s="33">
        <f t="shared" si="430"/>
        <v>10.749185667752444</v>
      </c>
      <c r="Z139" s="33">
        <f t="shared" si="430"/>
        <v>8.4852861527351511</v>
      </c>
      <c r="AA139" s="33">
        <f t="shared" ref="AA139:AC139" si="431">AA155/AA160*100</f>
        <v>7.4812967581047385</v>
      </c>
      <c r="AB139" s="33">
        <f t="shared" si="431"/>
        <v>7.4792243767313016</v>
      </c>
      <c r="AC139" s="33">
        <f t="shared" si="431"/>
        <v>7.481171548117155</v>
      </c>
      <c r="AD139" s="33">
        <f t="shared" ref="AD139:AF139" si="432">AD155/AD160*100</f>
        <v>6.3497028464185172</v>
      </c>
      <c r="AE139" s="33">
        <f t="shared" si="432"/>
        <v>6.5217391304347823</v>
      </c>
      <c r="AF139" s="33">
        <f t="shared" si="432"/>
        <v>6.3601645123384261</v>
      </c>
      <c r="AG139" s="33">
        <f t="shared" ref="AG139:AI139" si="433">AG155/AG160*100</f>
        <v>5.9533496067263361</v>
      </c>
      <c r="AH139" s="33">
        <f t="shared" si="433"/>
        <v>6.4748201438848918</v>
      </c>
      <c r="AI139" s="33">
        <f t="shared" si="433"/>
        <v>5.9899117276166463</v>
      </c>
    </row>
    <row r="140" spans="2:36" x14ac:dyDescent="0.25">
      <c r="B140" s="2" t="s">
        <v>94</v>
      </c>
      <c r="C140" s="33">
        <f t="shared" ref="C140:K140" si="434">C156/C160*100</f>
        <v>9.959555106167846</v>
      </c>
      <c r="D140" s="33">
        <f t="shared" si="434"/>
        <v>0.84745762711864403</v>
      </c>
      <c r="E140" s="33">
        <f t="shared" si="434"/>
        <v>9.4465648854961835</v>
      </c>
      <c r="F140" s="33">
        <f t="shared" si="434"/>
        <v>9.3797661413319773</v>
      </c>
      <c r="G140" s="33">
        <f t="shared" si="434"/>
        <v>1.3513513513513513</v>
      </c>
      <c r="H140" s="33">
        <f t="shared" si="434"/>
        <v>8.9509143407122238</v>
      </c>
      <c r="I140" s="33">
        <f t="shared" si="434"/>
        <v>9.3465243426191105</v>
      </c>
      <c r="J140" s="33">
        <f t="shared" si="434"/>
        <v>0.77519379844961245</v>
      </c>
      <c r="K140" s="33">
        <f t="shared" si="434"/>
        <v>8.8070261039277877</v>
      </c>
      <c r="L140" s="33">
        <f t="shared" ref="L140:N140" si="435">L156/L160*100</f>
        <v>9.5313322801474456</v>
      </c>
      <c r="M140" s="33">
        <f t="shared" si="435"/>
        <v>1.639344262295082</v>
      </c>
      <c r="N140" s="33">
        <f t="shared" si="435"/>
        <v>9.0549233052944089</v>
      </c>
      <c r="O140" s="33">
        <f t="shared" ref="O140:Q140" si="436">O156/O160*100</f>
        <v>8.9316555637799162</v>
      </c>
      <c r="P140" s="33">
        <f t="shared" si="436"/>
        <v>0.85470085470085477</v>
      </c>
      <c r="Q140" s="33">
        <f t="shared" si="436"/>
        <v>8.490786097504083</v>
      </c>
      <c r="R140" s="33">
        <f t="shared" ref="R140:T140" si="437">R156/R160*100</f>
        <v>10.269169871069895</v>
      </c>
      <c r="S140" s="33">
        <f t="shared" si="437"/>
        <v>1.4545454545454546</v>
      </c>
      <c r="T140" s="33">
        <f t="shared" si="437"/>
        <v>9.7529812606473598</v>
      </c>
      <c r="U140" s="33">
        <f t="shared" ref="U140:W140" si="438">U156/U160*100</f>
        <v>11.668053244592345</v>
      </c>
      <c r="V140" s="33">
        <f t="shared" si="438"/>
        <v>1.006711409395973</v>
      </c>
      <c r="W140" s="33">
        <f t="shared" si="438"/>
        <v>11.045828437132785</v>
      </c>
      <c r="X140" s="33">
        <f t="shared" ref="X140:Z140" si="439">X156/X160*100</f>
        <v>11.104740061162079</v>
      </c>
      <c r="Y140" s="33">
        <f t="shared" si="439"/>
        <v>2.2801302931596092</v>
      </c>
      <c r="Z140" s="33">
        <f t="shared" si="439"/>
        <v>10.615634591081422</v>
      </c>
      <c r="AA140" s="33">
        <f t="shared" ref="AA140:AC140" si="440">AA156/AA160*100</f>
        <v>11.542572141075881</v>
      </c>
      <c r="AB140" s="33">
        <f t="shared" si="440"/>
        <v>3.0470914127423825</v>
      </c>
      <c r="AC140" s="33">
        <f t="shared" si="440"/>
        <v>11.02928870292887</v>
      </c>
      <c r="AD140" s="33">
        <f t="shared" ref="AD140:AF140" si="441">AD156/AD160*100</f>
        <v>10.556771973725368</v>
      </c>
      <c r="AE140" s="33">
        <f t="shared" si="441"/>
        <v>2.8985507246376812</v>
      </c>
      <c r="AF140" s="33">
        <f t="shared" si="441"/>
        <v>10.091069330199765</v>
      </c>
      <c r="AG140" s="33">
        <f t="shared" ref="AG140:AI140" si="442">AG156/AG160*100</f>
        <v>11.011662598318415</v>
      </c>
      <c r="AH140" s="33">
        <f t="shared" si="442"/>
        <v>1.7985611510791366</v>
      </c>
      <c r="AI140" s="33">
        <f t="shared" si="442"/>
        <v>10.365699873896595</v>
      </c>
    </row>
    <row r="141" spans="2:36" x14ac:dyDescent="0.25">
      <c r="B141" s="2" t="s">
        <v>95</v>
      </c>
      <c r="C141" s="33">
        <f t="shared" ref="C141:K141" si="443">C157/C160*100</f>
        <v>7.406471183013144</v>
      </c>
      <c r="D141" s="33">
        <f t="shared" si="443"/>
        <v>14.83050847457627</v>
      </c>
      <c r="E141" s="33">
        <f t="shared" si="443"/>
        <v>7.8244274809160315</v>
      </c>
      <c r="F141" s="33">
        <f t="shared" si="443"/>
        <v>7.3207930859176411</v>
      </c>
      <c r="G141" s="33">
        <f t="shared" si="443"/>
        <v>11.261261261261261</v>
      </c>
      <c r="H141" s="33">
        <f t="shared" si="443"/>
        <v>7.5312800769971124</v>
      </c>
      <c r="I141" s="33">
        <f t="shared" si="443"/>
        <v>6.3785472533194483</v>
      </c>
      <c r="J141" s="33">
        <f t="shared" si="443"/>
        <v>15.11627906976744</v>
      </c>
      <c r="K141" s="33">
        <f t="shared" si="443"/>
        <v>6.9285191510124422</v>
      </c>
      <c r="L141" s="33">
        <f t="shared" ref="L141:N141" si="444">L157/L160*100</f>
        <v>5.2132701421800949</v>
      </c>
      <c r="M141" s="33">
        <f t="shared" si="444"/>
        <v>11.885245901639344</v>
      </c>
      <c r="N141" s="33">
        <f t="shared" si="444"/>
        <v>5.6160316674913409</v>
      </c>
      <c r="O141" s="33">
        <f t="shared" ref="O141:Q141" si="445">O157/O160*100</f>
        <v>5.0333086602516657</v>
      </c>
      <c r="P141" s="33">
        <f t="shared" si="445"/>
        <v>8.5470085470085468</v>
      </c>
      <c r="Q141" s="33">
        <f t="shared" si="445"/>
        <v>5.2250991369255892</v>
      </c>
      <c r="R141" s="33">
        <f t="shared" ref="R141:T141" si="446">R157/R160*100</f>
        <v>5.3607781045012439</v>
      </c>
      <c r="S141" s="33">
        <f t="shared" si="446"/>
        <v>10.181818181818182</v>
      </c>
      <c r="T141" s="33">
        <f t="shared" si="446"/>
        <v>5.6431005110732544</v>
      </c>
      <c r="U141" s="33">
        <f t="shared" ref="U141:W141" si="447">U157/U160*100</f>
        <v>3.9101497504159735</v>
      </c>
      <c r="V141" s="33">
        <f t="shared" si="447"/>
        <v>11.74496644295302</v>
      </c>
      <c r="W141" s="33">
        <f t="shared" si="447"/>
        <v>4.3674108891500198</v>
      </c>
      <c r="X141" s="33">
        <f t="shared" ref="X141:Z141" si="448">X157/X160*100</f>
        <v>4.1475535168195723</v>
      </c>
      <c r="Y141" s="33">
        <f t="shared" si="448"/>
        <v>5.2117263843648214</v>
      </c>
      <c r="Z141" s="33">
        <f t="shared" si="448"/>
        <v>4.2065354757176383</v>
      </c>
      <c r="AA141" s="33">
        <f t="shared" ref="AA141:AC141" si="449">AA157/AA160*100</f>
        <v>4.1147132169576057</v>
      </c>
      <c r="AB141" s="33">
        <f t="shared" si="449"/>
        <v>7.202216066481995</v>
      </c>
      <c r="AC141" s="33">
        <f t="shared" si="449"/>
        <v>4.3012552301255234</v>
      </c>
      <c r="AD141" s="33">
        <f t="shared" ref="AD141:AF141" si="450">AD157/AD160*100</f>
        <v>4.2227087894901469</v>
      </c>
      <c r="AE141" s="33">
        <f t="shared" si="450"/>
        <v>5.5555555555555554</v>
      </c>
      <c r="AF141" s="33">
        <f t="shared" si="450"/>
        <v>4.3037602820211518</v>
      </c>
      <c r="AG141" s="33">
        <f t="shared" ref="AG141:AI141" si="451">AG157/AG160*100</f>
        <v>3.5259018171955523</v>
      </c>
      <c r="AH141" s="33">
        <f t="shared" si="451"/>
        <v>7.5539568345323742</v>
      </c>
      <c r="AI141" s="33">
        <f t="shared" si="451"/>
        <v>3.8083228247162677</v>
      </c>
    </row>
    <row r="142" spans="2:36" x14ac:dyDescent="0.25">
      <c r="B142" s="2" t="s">
        <v>96</v>
      </c>
      <c r="C142" s="33">
        <f t="shared" ref="C142:K142" si="452">C158/C160*100</f>
        <v>3.2103134479271986</v>
      </c>
      <c r="D142" s="33">
        <f t="shared" si="452"/>
        <v>3.8135593220338984</v>
      </c>
      <c r="E142" s="33">
        <f t="shared" si="452"/>
        <v>3.2442748091603053</v>
      </c>
      <c r="F142" s="33">
        <f t="shared" si="452"/>
        <v>2.5927808845958311</v>
      </c>
      <c r="G142" s="33">
        <f t="shared" si="452"/>
        <v>4.0540540540540544</v>
      </c>
      <c r="H142" s="33">
        <f t="shared" si="452"/>
        <v>2.6708373435996151</v>
      </c>
      <c r="I142" s="33">
        <f t="shared" si="452"/>
        <v>2.1869304868523822</v>
      </c>
      <c r="J142" s="33">
        <f t="shared" si="452"/>
        <v>4.2635658914728678</v>
      </c>
      <c r="K142" s="33">
        <f t="shared" si="452"/>
        <v>2.3176384484020494</v>
      </c>
      <c r="L142" s="33">
        <f t="shared" ref="L142:N142" si="453">L158/L160*100</f>
        <v>2.2906793048973144</v>
      </c>
      <c r="M142" s="33">
        <f t="shared" si="453"/>
        <v>4.5081967213114753</v>
      </c>
      <c r="N142" s="33">
        <f t="shared" si="453"/>
        <v>2.4245423057892133</v>
      </c>
      <c r="O142" s="33">
        <f t="shared" ref="O142:Q142" si="454">O158/O160*100</f>
        <v>2.0478657784357268</v>
      </c>
      <c r="P142" s="33">
        <f t="shared" si="454"/>
        <v>3.4188034188034191</v>
      </c>
      <c r="Q142" s="33">
        <f t="shared" si="454"/>
        <v>2.1226965243760207</v>
      </c>
      <c r="R142" s="33">
        <f t="shared" ref="R142:T142" si="455">R158/R160*100</f>
        <v>1.7190680841438588</v>
      </c>
      <c r="S142" s="33">
        <f t="shared" si="455"/>
        <v>3.2727272727272729</v>
      </c>
      <c r="T142" s="33">
        <f t="shared" si="455"/>
        <v>1.8100511073253833</v>
      </c>
      <c r="U142" s="33">
        <f t="shared" ref="U142:W142" si="456">U158/U160*100</f>
        <v>1.684692179700499</v>
      </c>
      <c r="V142" s="33">
        <f t="shared" si="456"/>
        <v>1.6778523489932886</v>
      </c>
      <c r="W142" s="33">
        <f t="shared" si="456"/>
        <v>1.6842929886408147</v>
      </c>
      <c r="X142" s="33">
        <f t="shared" ref="X142:Z142" si="457">X158/X160*100</f>
        <v>1.4908256880733946</v>
      </c>
      <c r="Y142" s="33">
        <f t="shared" si="457"/>
        <v>2.9315960912052117</v>
      </c>
      <c r="Z142" s="33">
        <f t="shared" si="457"/>
        <v>1.5706806282722512</v>
      </c>
      <c r="AA142" s="33">
        <f t="shared" ref="AA142:AC142" si="458">AA158/AA160*100</f>
        <v>1.3003206270039187</v>
      </c>
      <c r="AB142" s="33">
        <f t="shared" si="458"/>
        <v>1.3850415512465373</v>
      </c>
      <c r="AC142" s="33">
        <f t="shared" si="458"/>
        <v>1.3054393305439331</v>
      </c>
      <c r="AD142" s="33">
        <f t="shared" ref="AD142:AF142" si="459">AD158/AD160*100</f>
        <v>1.1886143259305599</v>
      </c>
      <c r="AE142" s="33">
        <f t="shared" si="459"/>
        <v>1.932367149758454</v>
      </c>
      <c r="AF142" s="33">
        <f t="shared" si="459"/>
        <v>1.2338425381903642</v>
      </c>
      <c r="AG142" s="33">
        <f t="shared" ref="AG142:AI142" si="460">AG158/AG160*100</f>
        <v>0.62381339842690531</v>
      </c>
      <c r="AH142" s="33">
        <f t="shared" si="460"/>
        <v>1.4388489208633095</v>
      </c>
      <c r="AI142" s="33">
        <f t="shared" si="460"/>
        <v>0.68095838587641866</v>
      </c>
    </row>
    <row r="143" spans="2:36" x14ac:dyDescent="0.25">
      <c r="B143" s="2" t="s">
        <v>97</v>
      </c>
      <c r="C143" s="33">
        <f t="shared" ref="C143:K143" si="461">C159/C160*100</f>
        <v>5.9656218402426697</v>
      </c>
      <c r="D143" s="33">
        <f t="shared" si="461"/>
        <v>5.9322033898305087</v>
      </c>
      <c r="E143" s="33">
        <f t="shared" si="461"/>
        <v>5.9637404580152671</v>
      </c>
      <c r="F143" s="33">
        <f t="shared" si="461"/>
        <v>6.4056939501779357</v>
      </c>
      <c r="G143" s="33">
        <f t="shared" si="461"/>
        <v>8.5585585585585591</v>
      </c>
      <c r="H143" s="33">
        <f t="shared" si="461"/>
        <v>6.5206929740134738</v>
      </c>
      <c r="I143" s="33">
        <f t="shared" si="461"/>
        <v>7.6802915907315805</v>
      </c>
      <c r="J143" s="33">
        <f t="shared" si="461"/>
        <v>8.1395348837209305</v>
      </c>
      <c r="K143" s="33">
        <f t="shared" si="461"/>
        <v>7.7091973652110273</v>
      </c>
      <c r="L143" s="33">
        <f t="shared" ref="L143:N143" si="462">L159/L160*100</f>
        <v>7.5829383886255926</v>
      </c>
      <c r="M143" s="33">
        <f t="shared" si="462"/>
        <v>11.475409836065573</v>
      </c>
      <c r="N143" s="33">
        <f t="shared" si="462"/>
        <v>7.8179119247897084</v>
      </c>
      <c r="O143" s="33">
        <f t="shared" ref="O143:Q143" si="463">O159/O160*100</f>
        <v>8.2161361954108081</v>
      </c>
      <c r="P143" s="33">
        <f t="shared" si="463"/>
        <v>8.5470085470085468</v>
      </c>
      <c r="Q143" s="33">
        <f t="shared" si="463"/>
        <v>8.2341964077443421</v>
      </c>
      <c r="R143" s="33">
        <f t="shared" ref="R143:T143" si="464">R159/R160*100</f>
        <v>10.291789187966524</v>
      </c>
      <c r="S143" s="33">
        <f t="shared" si="464"/>
        <v>10.545454545454545</v>
      </c>
      <c r="T143" s="33">
        <f t="shared" si="464"/>
        <v>10.306643952299829</v>
      </c>
      <c r="U143" s="33">
        <f t="shared" ref="U143:W143" si="465">U159/U160*100</f>
        <v>9.8169717138103163</v>
      </c>
      <c r="V143" s="33">
        <f t="shared" si="465"/>
        <v>8.724832214765101</v>
      </c>
      <c r="W143" s="33">
        <f t="shared" si="465"/>
        <v>9.7532314923619268</v>
      </c>
      <c r="X143" s="33">
        <f t="shared" ref="X143:Z143" si="466">X159/X160*100</f>
        <v>11.410550458715596</v>
      </c>
      <c r="Y143" s="33">
        <f t="shared" si="466"/>
        <v>9.120521172638437</v>
      </c>
      <c r="Z143" s="33">
        <f t="shared" si="466"/>
        <v>11.283625203105254</v>
      </c>
      <c r="AA143" s="33">
        <f t="shared" ref="AA143:AC143" si="467">AA159/AA160*100</f>
        <v>10.562878517990736</v>
      </c>
      <c r="AB143" s="33">
        <f t="shared" si="467"/>
        <v>11.080332409972298</v>
      </c>
      <c r="AC143" s="33">
        <f t="shared" si="467"/>
        <v>10.594142259414225</v>
      </c>
      <c r="AD143" s="33">
        <f t="shared" ref="AD143:AF143" si="468">AD159/AD160*100</f>
        <v>12.621207381920552</v>
      </c>
      <c r="AE143" s="33">
        <f t="shared" si="468"/>
        <v>9.9033816425120769</v>
      </c>
      <c r="AF143" s="33">
        <f t="shared" si="468"/>
        <v>12.45593419506463</v>
      </c>
      <c r="AG143" s="33">
        <f t="shared" ref="AG143:AI143" si="469">AG159/AG160*100</f>
        <v>14.835909953892054</v>
      </c>
      <c r="AH143" s="33">
        <f t="shared" si="469"/>
        <v>11.870503597122301</v>
      </c>
      <c r="AI143" s="33">
        <f t="shared" si="469"/>
        <v>14.627994955863807</v>
      </c>
    </row>
    <row r="144" spans="2:36" x14ac:dyDescent="0.25">
      <c r="B144" s="14" t="s">
        <v>98</v>
      </c>
      <c r="C144" s="88">
        <f t="shared" ref="C144:K144" si="470">SUM(C135:C143)</f>
        <v>100</v>
      </c>
      <c r="D144" s="88">
        <f t="shared" si="470"/>
        <v>99.999999999999986</v>
      </c>
      <c r="E144" s="88">
        <f t="shared" si="470"/>
        <v>100</v>
      </c>
      <c r="F144" s="88">
        <f t="shared" si="470"/>
        <v>100</v>
      </c>
      <c r="G144" s="88">
        <f t="shared" si="470"/>
        <v>100.00000000000001</v>
      </c>
      <c r="H144" s="88">
        <f t="shared" si="470"/>
        <v>99.999999999999986</v>
      </c>
      <c r="I144" s="88">
        <f t="shared" si="470"/>
        <v>99.999999999999986</v>
      </c>
      <c r="J144" s="88">
        <f t="shared" si="470"/>
        <v>100</v>
      </c>
      <c r="K144" s="88">
        <f t="shared" si="470"/>
        <v>99.999999999999986</v>
      </c>
      <c r="L144" s="88">
        <f t="shared" ref="L144:N144" si="471">SUM(L135:L143)</f>
        <v>100.00000000000001</v>
      </c>
      <c r="M144" s="88">
        <f t="shared" si="471"/>
        <v>100</v>
      </c>
      <c r="N144" s="88">
        <f t="shared" si="471"/>
        <v>100.00000000000001</v>
      </c>
      <c r="O144" s="88">
        <f t="shared" ref="O144:Q144" si="472">SUM(O135:O143)</f>
        <v>99.999999999999986</v>
      </c>
      <c r="P144" s="88">
        <f t="shared" si="472"/>
        <v>99.999999999999986</v>
      </c>
      <c r="Q144" s="88">
        <f t="shared" si="472"/>
        <v>100</v>
      </c>
      <c r="R144" s="88">
        <f t="shared" ref="R144:T144" si="473">SUM(R135:R143)</f>
        <v>100.00000000000001</v>
      </c>
      <c r="S144" s="88">
        <f t="shared" si="473"/>
        <v>100</v>
      </c>
      <c r="T144" s="88">
        <f t="shared" si="473"/>
        <v>100</v>
      </c>
      <c r="U144" s="88">
        <f t="shared" ref="U144:W144" si="474">SUM(U135:U143)</f>
        <v>100</v>
      </c>
      <c r="V144" s="88">
        <f t="shared" si="474"/>
        <v>100</v>
      </c>
      <c r="W144" s="88">
        <f t="shared" si="474"/>
        <v>100</v>
      </c>
      <c r="X144" s="88">
        <f t="shared" ref="X144:Z144" si="475">SUM(X135:X143)</f>
        <v>99.999999999999986</v>
      </c>
      <c r="Y144" s="88">
        <f t="shared" si="475"/>
        <v>100</v>
      </c>
      <c r="Z144" s="88">
        <f t="shared" si="475"/>
        <v>100</v>
      </c>
      <c r="AA144" s="88">
        <f t="shared" ref="AA144:AC144" si="476">SUM(AA135:AA143)</f>
        <v>99.999999999999986</v>
      </c>
      <c r="AB144" s="88">
        <f t="shared" si="476"/>
        <v>99.999999999999986</v>
      </c>
      <c r="AC144" s="88">
        <f t="shared" si="476"/>
        <v>100</v>
      </c>
      <c r="AD144" s="88">
        <f t="shared" ref="AD144:AF144" si="477">SUM(AD135:AD143)</f>
        <v>100.00000000000001</v>
      </c>
      <c r="AE144" s="88">
        <f t="shared" si="477"/>
        <v>100</v>
      </c>
      <c r="AF144" s="88">
        <f t="shared" si="477"/>
        <v>100.00000000000001</v>
      </c>
      <c r="AG144" s="88">
        <f t="shared" ref="AG144:AI144" si="478">SUM(AG135:AG143)</f>
        <v>100</v>
      </c>
      <c r="AH144" s="88">
        <f t="shared" si="478"/>
        <v>100</v>
      </c>
      <c r="AI144" s="88">
        <f t="shared" si="478"/>
        <v>100.00000000000001</v>
      </c>
    </row>
    <row r="145" spans="2:35" x14ac:dyDescent="0.25">
      <c r="B145" s="2" t="s">
        <v>99</v>
      </c>
      <c r="C145" s="34">
        <f t="shared" ref="C145:K145" si="479">C160</f>
        <v>3956</v>
      </c>
      <c r="D145" s="33">
        <f t="shared" si="479"/>
        <v>236</v>
      </c>
      <c r="E145" s="34">
        <f t="shared" si="479"/>
        <v>4192</v>
      </c>
      <c r="F145" s="34">
        <f t="shared" si="479"/>
        <v>3934</v>
      </c>
      <c r="G145" s="33">
        <f t="shared" si="479"/>
        <v>222</v>
      </c>
      <c r="H145" s="34">
        <f t="shared" si="479"/>
        <v>4156</v>
      </c>
      <c r="I145" s="34">
        <f t="shared" si="479"/>
        <v>3841</v>
      </c>
      <c r="J145" s="33">
        <f t="shared" si="479"/>
        <v>258</v>
      </c>
      <c r="K145" s="34">
        <f t="shared" si="479"/>
        <v>4099</v>
      </c>
      <c r="L145" s="34">
        <f t="shared" ref="L145:N145" si="480">L160</f>
        <v>3798</v>
      </c>
      <c r="M145" s="33">
        <f t="shared" si="480"/>
        <v>244</v>
      </c>
      <c r="N145" s="34">
        <f t="shared" si="480"/>
        <v>4042</v>
      </c>
      <c r="O145" s="34">
        <f t="shared" ref="O145:Q145" si="481">O160</f>
        <v>4053</v>
      </c>
      <c r="P145" s="33">
        <f t="shared" si="481"/>
        <v>234</v>
      </c>
      <c r="Q145" s="34">
        <f t="shared" si="481"/>
        <v>4287</v>
      </c>
      <c r="R145" s="34">
        <f t="shared" ref="R145:T145" si="482">R160</f>
        <v>4421</v>
      </c>
      <c r="S145" s="33">
        <f t="shared" si="482"/>
        <v>275</v>
      </c>
      <c r="T145" s="34">
        <f t="shared" si="482"/>
        <v>4696</v>
      </c>
      <c r="U145" s="34">
        <f t="shared" ref="U145:W145" si="483">U160</f>
        <v>4808</v>
      </c>
      <c r="V145" s="33">
        <f t="shared" si="483"/>
        <v>298</v>
      </c>
      <c r="W145" s="34">
        <f t="shared" si="483"/>
        <v>5106</v>
      </c>
      <c r="X145" s="34">
        <f t="shared" ref="X145:Z145" si="484">X160</f>
        <v>5232</v>
      </c>
      <c r="Y145" s="33">
        <f t="shared" si="484"/>
        <v>307</v>
      </c>
      <c r="Z145" s="34">
        <f t="shared" si="484"/>
        <v>5539</v>
      </c>
      <c r="AA145" s="34">
        <f t="shared" ref="AA145:AC145" si="485">AA160</f>
        <v>5614</v>
      </c>
      <c r="AB145" s="33">
        <f t="shared" si="485"/>
        <v>361</v>
      </c>
      <c r="AC145" s="34">
        <f t="shared" si="485"/>
        <v>5975</v>
      </c>
      <c r="AD145" s="34">
        <f t="shared" ref="AD145:AF145" si="486">AD160</f>
        <v>6394</v>
      </c>
      <c r="AE145" s="33">
        <f t="shared" si="486"/>
        <v>414</v>
      </c>
      <c r="AF145" s="34">
        <f t="shared" si="486"/>
        <v>6808</v>
      </c>
      <c r="AG145" s="34">
        <f t="shared" ref="AG145:AI145" si="487">AG160</f>
        <v>7374</v>
      </c>
      <c r="AH145" s="33">
        <f t="shared" si="487"/>
        <v>556</v>
      </c>
      <c r="AI145" s="34">
        <f t="shared" si="487"/>
        <v>7930</v>
      </c>
    </row>
    <row r="146" spans="2:35" x14ac:dyDescent="0.25">
      <c r="B146" s="22"/>
      <c r="C146" s="3"/>
      <c r="D146" s="3"/>
      <c r="E146" s="3"/>
      <c r="F146" s="3"/>
      <c r="G146" s="3"/>
      <c r="H146" s="3"/>
      <c r="I146" s="3"/>
      <c r="J146" s="3"/>
      <c r="K146" s="3"/>
      <c r="L146" s="3"/>
      <c r="M146" s="3"/>
      <c r="N146" s="3"/>
    </row>
    <row r="147" spans="2:35" x14ac:dyDescent="0.25">
      <c r="B147" s="14" t="s">
        <v>289</v>
      </c>
      <c r="C147" s="3"/>
      <c r="D147" s="3"/>
      <c r="E147" s="3"/>
      <c r="F147" s="3"/>
      <c r="G147" s="3"/>
      <c r="H147" s="3"/>
      <c r="I147" s="3"/>
      <c r="J147" s="3"/>
      <c r="K147" s="3"/>
      <c r="L147" s="3"/>
      <c r="M147" s="3"/>
      <c r="N147" s="3"/>
    </row>
    <row r="148" spans="2:35" x14ac:dyDescent="0.25">
      <c r="B148" s="11"/>
      <c r="C148" s="3"/>
      <c r="D148" s="3"/>
      <c r="E148" s="3"/>
      <c r="F148" s="3"/>
      <c r="G148" s="3"/>
      <c r="H148" s="3"/>
      <c r="I148" s="3"/>
      <c r="J148" s="3"/>
      <c r="K148" s="3"/>
      <c r="L148" s="3"/>
      <c r="M148" s="3"/>
      <c r="N148" s="3"/>
    </row>
    <row r="149" spans="2:35" x14ac:dyDescent="0.25">
      <c r="B149" s="11"/>
      <c r="C149" s="3"/>
      <c r="D149" s="3"/>
      <c r="E149" s="3"/>
      <c r="F149" s="3"/>
      <c r="G149" s="3"/>
      <c r="H149" s="3"/>
      <c r="I149" s="3"/>
      <c r="J149" s="3"/>
      <c r="K149" s="3"/>
      <c r="L149" s="3"/>
      <c r="M149" s="3"/>
      <c r="N149" s="3"/>
    </row>
    <row r="150" spans="2:35" x14ac:dyDescent="0.25">
      <c r="B150" s="32" t="s">
        <v>102</v>
      </c>
      <c r="C150" s="3"/>
      <c r="D150" s="3"/>
      <c r="E150" s="3"/>
      <c r="F150" s="3"/>
      <c r="G150" s="3"/>
      <c r="H150" s="3"/>
      <c r="I150" s="3"/>
      <c r="J150" s="3"/>
      <c r="K150" s="3"/>
      <c r="L150" s="3"/>
      <c r="M150" s="3"/>
      <c r="N150" s="3"/>
    </row>
    <row r="151" spans="2:35" x14ac:dyDescent="0.25">
      <c r="B151" s="2" t="s">
        <v>89</v>
      </c>
      <c r="C151" s="34">
        <v>525</v>
      </c>
      <c r="D151" s="34">
        <v>25</v>
      </c>
      <c r="E151" s="34">
        <f t="shared" ref="E151:E159" si="488">C151+D151</f>
        <v>550</v>
      </c>
      <c r="F151" s="34">
        <v>537</v>
      </c>
      <c r="G151" s="34">
        <v>28</v>
      </c>
      <c r="H151" s="34">
        <f t="shared" ref="H151:H159" si="489">F151+G151</f>
        <v>565</v>
      </c>
      <c r="I151" s="34">
        <v>552</v>
      </c>
      <c r="J151" s="34">
        <v>31</v>
      </c>
      <c r="K151" s="34">
        <f t="shared" ref="K151:K159" si="490">I151+J151</f>
        <v>583</v>
      </c>
      <c r="L151" s="34">
        <v>599</v>
      </c>
      <c r="M151" s="34">
        <v>33</v>
      </c>
      <c r="N151" s="34">
        <f t="shared" ref="N151:N159" si="491">L151+M151</f>
        <v>632</v>
      </c>
      <c r="O151" s="10">
        <v>614</v>
      </c>
      <c r="P151" s="10">
        <v>37</v>
      </c>
      <c r="Q151" s="34">
        <f t="shared" ref="Q151:Q159" si="492">O151+P151</f>
        <v>651</v>
      </c>
      <c r="R151" s="10">
        <v>635</v>
      </c>
      <c r="S151" s="10">
        <v>41</v>
      </c>
      <c r="T151" s="34">
        <f>R151+S151</f>
        <v>676</v>
      </c>
      <c r="U151" s="10">
        <v>690</v>
      </c>
      <c r="V151" s="10">
        <v>44</v>
      </c>
      <c r="W151" s="34">
        <f>U151+V151</f>
        <v>734</v>
      </c>
      <c r="X151" s="10">
        <v>757</v>
      </c>
      <c r="Y151" s="10">
        <v>54</v>
      </c>
      <c r="Z151" s="34">
        <f>X151+Y151</f>
        <v>811</v>
      </c>
      <c r="AA151" s="10">
        <v>850</v>
      </c>
      <c r="AB151" s="10">
        <v>61</v>
      </c>
      <c r="AC151" s="34">
        <f>AA151+AB151</f>
        <v>911</v>
      </c>
      <c r="AD151" s="10">
        <v>912</v>
      </c>
      <c r="AE151" s="10">
        <v>60</v>
      </c>
      <c r="AF151" s="34">
        <f>AD151+AE151</f>
        <v>972</v>
      </c>
      <c r="AG151" s="10">
        <v>1003</v>
      </c>
      <c r="AH151" s="10">
        <v>71</v>
      </c>
      <c r="AI151" s="34">
        <f>AG151+AH151</f>
        <v>1074</v>
      </c>
    </row>
    <row r="152" spans="2:35" x14ac:dyDescent="0.25">
      <c r="B152" s="2" t="s">
        <v>90</v>
      </c>
      <c r="C152" s="34">
        <v>615</v>
      </c>
      <c r="D152" s="34">
        <v>35</v>
      </c>
      <c r="E152" s="34">
        <f t="shared" si="488"/>
        <v>650</v>
      </c>
      <c r="F152" s="34">
        <v>605</v>
      </c>
      <c r="G152" s="34">
        <v>33</v>
      </c>
      <c r="H152" s="34">
        <f t="shared" si="489"/>
        <v>638</v>
      </c>
      <c r="I152" s="34">
        <v>618</v>
      </c>
      <c r="J152" s="34">
        <v>44</v>
      </c>
      <c r="K152" s="34">
        <f t="shared" si="490"/>
        <v>662</v>
      </c>
      <c r="L152" s="34">
        <v>589</v>
      </c>
      <c r="M152" s="34">
        <v>38</v>
      </c>
      <c r="N152" s="34">
        <f t="shared" si="491"/>
        <v>627</v>
      </c>
      <c r="O152" s="10">
        <v>669</v>
      </c>
      <c r="P152" s="10">
        <v>40</v>
      </c>
      <c r="Q152" s="34">
        <f t="shared" si="492"/>
        <v>709</v>
      </c>
      <c r="R152" s="10">
        <v>740</v>
      </c>
      <c r="S152" s="10">
        <v>39</v>
      </c>
      <c r="T152" s="34">
        <f t="shared" ref="T152:T159" si="493">R152+S152</f>
        <v>779</v>
      </c>
      <c r="U152" s="10">
        <v>826</v>
      </c>
      <c r="V152" s="10">
        <v>54</v>
      </c>
      <c r="W152" s="34">
        <f t="shared" ref="W152:W159" si="494">U152+V152</f>
        <v>880</v>
      </c>
      <c r="X152" s="10">
        <v>859</v>
      </c>
      <c r="Y152" s="10">
        <v>46</v>
      </c>
      <c r="Z152" s="34">
        <f t="shared" ref="Z152:Z159" si="495">X152+Y152</f>
        <v>905</v>
      </c>
      <c r="AA152" s="10">
        <v>898</v>
      </c>
      <c r="AB152" s="10">
        <v>47</v>
      </c>
      <c r="AC152" s="34">
        <f t="shared" ref="AC152:AC159" si="496">AA152+AB152</f>
        <v>945</v>
      </c>
      <c r="AD152" s="10">
        <v>1036</v>
      </c>
      <c r="AE152" s="10">
        <v>43</v>
      </c>
      <c r="AF152" s="34">
        <f t="shared" ref="AF152:AF159" si="497">AD152+AE152</f>
        <v>1079</v>
      </c>
      <c r="AG152" s="10">
        <v>1157</v>
      </c>
      <c r="AH152" s="10">
        <v>74</v>
      </c>
      <c r="AI152" s="34">
        <f t="shared" ref="AI152:AI159" si="498">AG152+AH152</f>
        <v>1231</v>
      </c>
    </row>
    <row r="153" spans="2:35" x14ac:dyDescent="0.25">
      <c r="B153" s="2" t="s">
        <v>91</v>
      </c>
      <c r="C153" s="34">
        <v>1039</v>
      </c>
      <c r="D153" s="34">
        <v>61</v>
      </c>
      <c r="E153" s="34">
        <f t="shared" si="488"/>
        <v>1100</v>
      </c>
      <c r="F153" s="34">
        <v>1052</v>
      </c>
      <c r="G153" s="34">
        <v>57</v>
      </c>
      <c r="H153" s="34">
        <f t="shared" si="489"/>
        <v>1109</v>
      </c>
      <c r="I153" s="34">
        <v>1023</v>
      </c>
      <c r="J153" s="34">
        <v>57</v>
      </c>
      <c r="K153" s="34">
        <f t="shared" si="490"/>
        <v>1080</v>
      </c>
      <c r="L153" s="34">
        <v>1002</v>
      </c>
      <c r="M153" s="34">
        <v>56</v>
      </c>
      <c r="N153" s="34">
        <f t="shared" si="491"/>
        <v>1058</v>
      </c>
      <c r="O153" s="10">
        <v>1158</v>
      </c>
      <c r="P153" s="10">
        <v>63</v>
      </c>
      <c r="Q153" s="34">
        <f t="shared" si="492"/>
        <v>1221</v>
      </c>
      <c r="R153" s="10">
        <v>1177</v>
      </c>
      <c r="S153" s="10">
        <v>79</v>
      </c>
      <c r="T153" s="34">
        <f t="shared" si="493"/>
        <v>1256</v>
      </c>
      <c r="U153" s="10">
        <v>1313</v>
      </c>
      <c r="V153" s="10">
        <v>89</v>
      </c>
      <c r="W153" s="34">
        <f t="shared" si="494"/>
        <v>1402</v>
      </c>
      <c r="X153" s="10">
        <v>1509</v>
      </c>
      <c r="Y153" s="10">
        <v>90</v>
      </c>
      <c r="Z153" s="34">
        <f t="shared" si="495"/>
        <v>1599</v>
      </c>
      <c r="AA153" s="10">
        <v>1622</v>
      </c>
      <c r="AB153" s="10">
        <v>121</v>
      </c>
      <c r="AC153" s="34">
        <f t="shared" si="496"/>
        <v>1743</v>
      </c>
      <c r="AD153" s="10">
        <v>1945</v>
      </c>
      <c r="AE153" s="10">
        <v>163</v>
      </c>
      <c r="AF153" s="34">
        <f t="shared" si="497"/>
        <v>2108</v>
      </c>
      <c r="AG153" s="10">
        <v>2272</v>
      </c>
      <c r="AH153" s="10">
        <v>209</v>
      </c>
      <c r="AI153" s="34">
        <f t="shared" si="498"/>
        <v>2481</v>
      </c>
    </row>
    <row r="154" spans="2:35" x14ac:dyDescent="0.25">
      <c r="B154" s="2" t="s">
        <v>92</v>
      </c>
      <c r="C154" s="34">
        <v>314</v>
      </c>
      <c r="D154" s="34">
        <v>33</v>
      </c>
      <c r="E154" s="34">
        <f t="shared" si="488"/>
        <v>347</v>
      </c>
      <c r="F154" s="34">
        <v>319</v>
      </c>
      <c r="G154" s="34">
        <v>30</v>
      </c>
      <c r="H154" s="34">
        <f t="shared" si="489"/>
        <v>349</v>
      </c>
      <c r="I154" s="34">
        <v>289</v>
      </c>
      <c r="J154" s="34">
        <v>36</v>
      </c>
      <c r="K154" s="34">
        <f t="shared" si="490"/>
        <v>325</v>
      </c>
      <c r="L154" s="34">
        <v>284</v>
      </c>
      <c r="M154" s="34">
        <v>29</v>
      </c>
      <c r="N154" s="34">
        <f t="shared" si="491"/>
        <v>313</v>
      </c>
      <c r="O154" s="10">
        <v>280</v>
      </c>
      <c r="P154" s="10">
        <v>32</v>
      </c>
      <c r="Q154" s="34">
        <f t="shared" si="492"/>
        <v>312</v>
      </c>
      <c r="R154" s="10">
        <v>268</v>
      </c>
      <c r="S154" s="10">
        <v>36</v>
      </c>
      <c r="T154" s="34">
        <f t="shared" si="493"/>
        <v>304</v>
      </c>
      <c r="U154" s="10">
        <v>221</v>
      </c>
      <c r="V154" s="10">
        <v>25</v>
      </c>
      <c r="W154" s="34">
        <f t="shared" si="494"/>
        <v>246</v>
      </c>
      <c r="X154" s="10">
        <v>197</v>
      </c>
      <c r="Y154" s="10">
        <v>24</v>
      </c>
      <c r="Z154" s="34">
        <f t="shared" si="495"/>
        <v>221</v>
      </c>
      <c r="AA154" s="10">
        <v>279</v>
      </c>
      <c r="AB154" s="10">
        <v>23</v>
      </c>
      <c r="AC154" s="34">
        <f t="shared" si="496"/>
        <v>302</v>
      </c>
      <c r="AD154" s="10">
        <v>267</v>
      </c>
      <c r="AE154" s="10">
        <v>37</v>
      </c>
      <c r="AF154" s="34">
        <f t="shared" si="497"/>
        <v>304</v>
      </c>
      <c r="AG154" s="10">
        <v>291</v>
      </c>
      <c r="AH154" s="10">
        <v>40</v>
      </c>
      <c r="AI154" s="34">
        <f t="shared" si="498"/>
        <v>331</v>
      </c>
    </row>
    <row r="155" spans="2:35" x14ac:dyDescent="0.25">
      <c r="B155" s="2" t="s">
        <v>93</v>
      </c>
      <c r="C155" s="34">
        <v>413</v>
      </c>
      <c r="D155" s="34">
        <v>22</v>
      </c>
      <c r="E155" s="34">
        <f t="shared" si="488"/>
        <v>435</v>
      </c>
      <c r="F155" s="34">
        <v>410</v>
      </c>
      <c r="G155" s="34">
        <v>18</v>
      </c>
      <c r="H155" s="34">
        <f t="shared" si="489"/>
        <v>428</v>
      </c>
      <c r="I155" s="34">
        <v>376</v>
      </c>
      <c r="J155" s="34">
        <v>17</v>
      </c>
      <c r="K155" s="34">
        <f t="shared" si="490"/>
        <v>393</v>
      </c>
      <c r="L155" s="34">
        <v>389</v>
      </c>
      <c r="M155" s="34">
        <v>16</v>
      </c>
      <c r="N155" s="34">
        <f t="shared" si="491"/>
        <v>405</v>
      </c>
      <c r="O155" s="10">
        <v>350</v>
      </c>
      <c r="P155" s="10">
        <v>12</v>
      </c>
      <c r="Q155" s="34">
        <f t="shared" si="492"/>
        <v>362</v>
      </c>
      <c r="R155" s="10">
        <v>379</v>
      </c>
      <c r="S155" s="10">
        <v>10</v>
      </c>
      <c r="T155" s="34">
        <f t="shared" si="493"/>
        <v>389</v>
      </c>
      <c r="U155" s="10">
        <v>456</v>
      </c>
      <c r="V155" s="10">
        <v>17</v>
      </c>
      <c r="W155" s="34">
        <f t="shared" si="494"/>
        <v>473</v>
      </c>
      <c r="X155" s="10">
        <v>437</v>
      </c>
      <c r="Y155" s="10">
        <v>33</v>
      </c>
      <c r="Z155" s="34">
        <f t="shared" si="495"/>
        <v>470</v>
      </c>
      <c r="AA155" s="10">
        <v>420</v>
      </c>
      <c r="AB155" s="10">
        <v>27</v>
      </c>
      <c r="AC155" s="34">
        <f t="shared" si="496"/>
        <v>447</v>
      </c>
      <c r="AD155" s="10">
        <v>406</v>
      </c>
      <c r="AE155" s="10">
        <v>27</v>
      </c>
      <c r="AF155" s="34">
        <f t="shared" si="497"/>
        <v>433</v>
      </c>
      <c r="AG155" s="10">
        <v>439</v>
      </c>
      <c r="AH155" s="10">
        <v>36</v>
      </c>
      <c r="AI155" s="34">
        <f t="shared" si="498"/>
        <v>475</v>
      </c>
    </row>
    <row r="156" spans="2:35" x14ac:dyDescent="0.25">
      <c r="B156" s="2" t="s">
        <v>94</v>
      </c>
      <c r="C156" s="34">
        <v>394</v>
      </c>
      <c r="D156" s="34">
        <v>2</v>
      </c>
      <c r="E156" s="34">
        <f t="shared" si="488"/>
        <v>396</v>
      </c>
      <c r="F156" s="34">
        <v>369</v>
      </c>
      <c r="G156" s="34">
        <v>3</v>
      </c>
      <c r="H156" s="34">
        <f t="shared" si="489"/>
        <v>372</v>
      </c>
      <c r="I156" s="34">
        <v>359</v>
      </c>
      <c r="J156" s="34">
        <v>2</v>
      </c>
      <c r="K156" s="34">
        <f t="shared" si="490"/>
        <v>361</v>
      </c>
      <c r="L156" s="34">
        <v>362</v>
      </c>
      <c r="M156" s="34">
        <v>4</v>
      </c>
      <c r="N156" s="34">
        <f t="shared" si="491"/>
        <v>366</v>
      </c>
      <c r="O156" s="10">
        <v>362</v>
      </c>
      <c r="P156" s="10">
        <v>2</v>
      </c>
      <c r="Q156" s="34">
        <f t="shared" si="492"/>
        <v>364</v>
      </c>
      <c r="R156" s="10">
        <v>454</v>
      </c>
      <c r="S156" s="10">
        <v>4</v>
      </c>
      <c r="T156" s="34">
        <f t="shared" si="493"/>
        <v>458</v>
      </c>
      <c r="U156" s="10">
        <v>561</v>
      </c>
      <c r="V156" s="10">
        <v>3</v>
      </c>
      <c r="W156" s="34">
        <f t="shared" si="494"/>
        <v>564</v>
      </c>
      <c r="X156" s="10">
        <v>581</v>
      </c>
      <c r="Y156" s="10">
        <v>7</v>
      </c>
      <c r="Z156" s="34">
        <f t="shared" si="495"/>
        <v>588</v>
      </c>
      <c r="AA156" s="10">
        <v>648</v>
      </c>
      <c r="AB156" s="10">
        <v>11</v>
      </c>
      <c r="AC156" s="34">
        <f t="shared" si="496"/>
        <v>659</v>
      </c>
      <c r="AD156" s="10">
        <v>675</v>
      </c>
      <c r="AE156" s="10">
        <v>12</v>
      </c>
      <c r="AF156" s="34">
        <f t="shared" si="497"/>
        <v>687</v>
      </c>
      <c r="AG156" s="10">
        <v>812</v>
      </c>
      <c r="AH156" s="10">
        <v>10</v>
      </c>
      <c r="AI156" s="34">
        <f t="shared" si="498"/>
        <v>822</v>
      </c>
    </row>
    <row r="157" spans="2:35" x14ac:dyDescent="0.25">
      <c r="B157" s="2" t="s">
        <v>95</v>
      </c>
      <c r="C157" s="34">
        <v>293</v>
      </c>
      <c r="D157" s="34">
        <v>35</v>
      </c>
      <c r="E157" s="34">
        <f t="shared" si="488"/>
        <v>328</v>
      </c>
      <c r="F157" s="34">
        <v>288</v>
      </c>
      <c r="G157" s="34">
        <v>25</v>
      </c>
      <c r="H157" s="34">
        <f t="shared" si="489"/>
        <v>313</v>
      </c>
      <c r="I157" s="34">
        <v>245</v>
      </c>
      <c r="J157" s="34">
        <v>39</v>
      </c>
      <c r="K157" s="34">
        <f t="shared" si="490"/>
        <v>284</v>
      </c>
      <c r="L157" s="34">
        <v>198</v>
      </c>
      <c r="M157" s="34">
        <v>29</v>
      </c>
      <c r="N157" s="34">
        <f t="shared" si="491"/>
        <v>227</v>
      </c>
      <c r="O157" s="10">
        <v>204</v>
      </c>
      <c r="P157" s="10">
        <v>20</v>
      </c>
      <c r="Q157" s="34">
        <f t="shared" si="492"/>
        <v>224</v>
      </c>
      <c r="R157" s="10">
        <v>237</v>
      </c>
      <c r="S157" s="10">
        <v>28</v>
      </c>
      <c r="T157" s="34">
        <f t="shared" si="493"/>
        <v>265</v>
      </c>
      <c r="U157" s="10">
        <v>188</v>
      </c>
      <c r="V157" s="10">
        <v>35</v>
      </c>
      <c r="W157" s="34">
        <f t="shared" si="494"/>
        <v>223</v>
      </c>
      <c r="X157" s="10">
        <v>217</v>
      </c>
      <c r="Y157" s="10">
        <v>16</v>
      </c>
      <c r="Z157" s="34">
        <f t="shared" si="495"/>
        <v>233</v>
      </c>
      <c r="AA157" s="10">
        <v>231</v>
      </c>
      <c r="AB157" s="10">
        <v>26</v>
      </c>
      <c r="AC157" s="34">
        <f t="shared" si="496"/>
        <v>257</v>
      </c>
      <c r="AD157" s="10">
        <v>270</v>
      </c>
      <c r="AE157" s="10">
        <v>23</v>
      </c>
      <c r="AF157" s="34">
        <f t="shared" si="497"/>
        <v>293</v>
      </c>
      <c r="AG157" s="10">
        <v>260</v>
      </c>
      <c r="AH157" s="10">
        <v>42</v>
      </c>
      <c r="AI157" s="34">
        <f t="shared" si="498"/>
        <v>302</v>
      </c>
    </row>
    <row r="158" spans="2:35" x14ac:dyDescent="0.25">
      <c r="B158" s="2" t="s">
        <v>96</v>
      </c>
      <c r="C158" s="34">
        <v>127</v>
      </c>
      <c r="D158" s="34">
        <v>9</v>
      </c>
      <c r="E158" s="34">
        <f t="shared" si="488"/>
        <v>136</v>
      </c>
      <c r="F158" s="34">
        <v>102</v>
      </c>
      <c r="G158" s="34">
        <v>9</v>
      </c>
      <c r="H158" s="34">
        <f t="shared" si="489"/>
        <v>111</v>
      </c>
      <c r="I158" s="34">
        <v>84</v>
      </c>
      <c r="J158" s="34">
        <v>11</v>
      </c>
      <c r="K158" s="34">
        <f t="shared" si="490"/>
        <v>95</v>
      </c>
      <c r="L158" s="34">
        <v>87</v>
      </c>
      <c r="M158" s="34">
        <v>11</v>
      </c>
      <c r="N158" s="34">
        <f t="shared" si="491"/>
        <v>98</v>
      </c>
      <c r="O158" s="10">
        <v>83</v>
      </c>
      <c r="P158" s="10">
        <v>8</v>
      </c>
      <c r="Q158" s="34">
        <f t="shared" si="492"/>
        <v>91</v>
      </c>
      <c r="R158" s="10">
        <v>76</v>
      </c>
      <c r="S158" s="10">
        <v>9</v>
      </c>
      <c r="T158" s="34">
        <f t="shared" si="493"/>
        <v>85</v>
      </c>
      <c r="U158" s="10">
        <v>81</v>
      </c>
      <c r="V158" s="10">
        <v>5</v>
      </c>
      <c r="W158" s="34">
        <f t="shared" si="494"/>
        <v>86</v>
      </c>
      <c r="X158" s="10">
        <v>78</v>
      </c>
      <c r="Y158" s="10">
        <v>9</v>
      </c>
      <c r="Z158" s="34">
        <f t="shared" si="495"/>
        <v>87</v>
      </c>
      <c r="AA158" s="10">
        <v>73</v>
      </c>
      <c r="AB158" s="10">
        <v>5</v>
      </c>
      <c r="AC158" s="34">
        <f t="shared" si="496"/>
        <v>78</v>
      </c>
      <c r="AD158" s="10">
        <v>76</v>
      </c>
      <c r="AE158" s="10">
        <v>8</v>
      </c>
      <c r="AF158" s="34">
        <f t="shared" si="497"/>
        <v>84</v>
      </c>
      <c r="AG158" s="10">
        <v>46</v>
      </c>
      <c r="AH158" s="10">
        <v>8</v>
      </c>
      <c r="AI158" s="34">
        <f t="shared" si="498"/>
        <v>54</v>
      </c>
    </row>
    <row r="159" spans="2:35" x14ac:dyDescent="0.25">
      <c r="B159" s="2" t="s">
        <v>97</v>
      </c>
      <c r="C159" s="34">
        <v>236</v>
      </c>
      <c r="D159" s="34">
        <v>14</v>
      </c>
      <c r="E159" s="34">
        <f t="shared" si="488"/>
        <v>250</v>
      </c>
      <c r="F159" s="34">
        <v>252</v>
      </c>
      <c r="G159" s="34">
        <v>19</v>
      </c>
      <c r="H159" s="34">
        <f t="shared" si="489"/>
        <v>271</v>
      </c>
      <c r="I159" s="34">
        <v>295</v>
      </c>
      <c r="J159" s="34">
        <v>21</v>
      </c>
      <c r="K159" s="34">
        <f t="shared" si="490"/>
        <v>316</v>
      </c>
      <c r="L159" s="34">
        <v>288</v>
      </c>
      <c r="M159" s="34">
        <v>28</v>
      </c>
      <c r="N159" s="34">
        <f t="shared" si="491"/>
        <v>316</v>
      </c>
      <c r="O159" s="10">
        <v>333</v>
      </c>
      <c r="P159" s="10">
        <v>20</v>
      </c>
      <c r="Q159" s="34">
        <f t="shared" si="492"/>
        <v>353</v>
      </c>
      <c r="R159" s="10">
        <v>455</v>
      </c>
      <c r="S159" s="10">
        <v>29</v>
      </c>
      <c r="T159" s="34">
        <f t="shared" si="493"/>
        <v>484</v>
      </c>
      <c r="U159" s="10">
        <v>472</v>
      </c>
      <c r="V159" s="10">
        <v>26</v>
      </c>
      <c r="W159" s="34">
        <f t="shared" si="494"/>
        <v>498</v>
      </c>
      <c r="X159" s="10">
        <v>597</v>
      </c>
      <c r="Y159" s="10">
        <v>28</v>
      </c>
      <c r="Z159" s="34">
        <f t="shared" si="495"/>
        <v>625</v>
      </c>
      <c r="AA159" s="10">
        <v>593</v>
      </c>
      <c r="AB159" s="10">
        <v>40</v>
      </c>
      <c r="AC159" s="34">
        <f t="shared" si="496"/>
        <v>633</v>
      </c>
      <c r="AD159" s="10">
        <v>807</v>
      </c>
      <c r="AE159" s="10">
        <v>41</v>
      </c>
      <c r="AF159" s="34">
        <f t="shared" si="497"/>
        <v>848</v>
      </c>
      <c r="AG159" s="10">
        <v>1094</v>
      </c>
      <c r="AH159" s="10">
        <v>66</v>
      </c>
      <c r="AI159" s="34">
        <f t="shared" si="498"/>
        <v>1160</v>
      </c>
    </row>
    <row r="160" spans="2:35" x14ac:dyDescent="0.25">
      <c r="C160" s="34">
        <f>SUM(C151:C159)</f>
        <v>3956</v>
      </c>
      <c r="D160" s="33">
        <f t="shared" ref="D160:K160" si="499">SUM(D151:D159)</f>
        <v>236</v>
      </c>
      <c r="E160" s="34">
        <f t="shared" si="499"/>
        <v>4192</v>
      </c>
      <c r="F160" s="34">
        <f t="shared" si="499"/>
        <v>3934</v>
      </c>
      <c r="G160" s="33">
        <f t="shared" si="499"/>
        <v>222</v>
      </c>
      <c r="H160" s="34">
        <f t="shared" si="499"/>
        <v>4156</v>
      </c>
      <c r="I160" s="34">
        <f t="shared" si="499"/>
        <v>3841</v>
      </c>
      <c r="J160" s="33">
        <f t="shared" si="499"/>
        <v>258</v>
      </c>
      <c r="K160" s="34">
        <f t="shared" si="499"/>
        <v>4099</v>
      </c>
      <c r="L160" s="34">
        <f>SUM(L151:L159)</f>
        <v>3798</v>
      </c>
      <c r="M160" s="33">
        <f>SUM(M151:M159)</f>
        <v>244</v>
      </c>
      <c r="N160" s="34">
        <f>SUM(N151:N159)</f>
        <v>4042</v>
      </c>
      <c r="O160" s="34">
        <f t="shared" ref="O160:Q160" si="500">SUM(O151:O159)</f>
        <v>4053</v>
      </c>
      <c r="P160" s="34">
        <f t="shared" si="500"/>
        <v>234</v>
      </c>
      <c r="Q160" s="34">
        <f t="shared" si="500"/>
        <v>4287</v>
      </c>
      <c r="R160" s="34">
        <f t="shared" ref="R160:S160" si="501">SUM(R151:R159)</f>
        <v>4421</v>
      </c>
      <c r="S160" s="34">
        <f t="shared" si="501"/>
        <v>275</v>
      </c>
      <c r="T160" s="34">
        <f>SUM(T151:T159)</f>
        <v>4696</v>
      </c>
      <c r="U160" s="34">
        <f t="shared" ref="U160:V160" si="502">SUM(U151:U159)</f>
        <v>4808</v>
      </c>
      <c r="V160" s="34">
        <f t="shared" si="502"/>
        <v>298</v>
      </c>
      <c r="W160" s="34">
        <f>SUM(W151:W159)</f>
        <v>5106</v>
      </c>
      <c r="X160" s="34">
        <f t="shared" ref="X160:Y160" si="503">SUM(X151:X159)</f>
        <v>5232</v>
      </c>
      <c r="Y160" s="34">
        <f t="shared" si="503"/>
        <v>307</v>
      </c>
      <c r="Z160" s="34">
        <f>SUM(Z151:Z159)</f>
        <v>5539</v>
      </c>
      <c r="AA160" s="34">
        <f t="shared" ref="AA160:AB160" si="504">SUM(AA151:AA159)</f>
        <v>5614</v>
      </c>
      <c r="AB160" s="34">
        <f t="shared" si="504"/>
        <v>361</v>
      </c>
      <c r="AC160" s="34">
        <f>SUM(AC151:AC159)</f>
        <v>5975</v>
      </c>
      <c r="AD160" s="34">
        <f t="shared" ref="AD160:AE160" si="505">SUM(AD151:AD159)</f>
        <v>6394</v>
      </c>
      <c r="AE160" s="34">
        <f t="shared" si="505"/>
        <v>414</v>
      </c>
      <c r="AF160" s="34">
        <f>SUM(AF151:AF159)</f>
        <v>6808</v>
      </c>
      <c r="AG160" s="34">
        <f t="shared" ref="AG160:AH160" si="506">SUM(AG151:AG159)</f>
        <v>7374</v>
      </c>
      <c r="AH160" s="34">
        <f t="shared" si="506"/>
        <v>556</v>
      </c>
      <c r="AI160" s="34">
        <f>SUM(AI151:AI159)</f>
        <v>7930</v>
      </c>
    </row>
  </sheetData>
  <mergeCells count="55">
    <mergeCell ref="X4:Z4"/>
    <mergeCell ref="X36:Z36"/>
    <mergeCell ref="X68:Z68"/>
    <mergeCell ref="X100:Z100"/>
    <mergeCell ref="X132:Z132"/>
    <mergeCell ref="C36:E36"/>
    <mergeCell ref="F36:H36"/>
    <mergeCell ref="I36:K36"/>
    <mergeCell ref="L36:N36"/>
    <mergeCell ref="O36:Q36"/>
    <mergeCell ref="C100:E100"/>
    <mergeCell ref="F100:H100"/>
    <mergeCell ref="I100:K100"/>
    <mergeCell ref="L100:N100"/>
    <mergeCell ref="O100:Q100"/>
    <mergeCell ref="C68:E68"/>
    <mergeCell ref="F68:H68"/>
    <mergeCell ref="I68:K68"/>
    <mergeCell ref="L68:N68"/>
    <mergeCell ref="O68:Q68"/>
    <mergeCell ref="C132:E132"/>
    <mergeCell ref="F132:H132"/>
    <mergeCell ref="I132:K132"/>
    <mergeCell ref="L132:N132"/>
    <mergeCell ref="O132:Q132"/>
    <mergeCell ref="C4:E4"/>
    <mergeCell ref="F4:H4"/>
    <mergeCell ref="I4:K4"/>
    <mergeCell ref="L4:N4"/>
    <mergeCell ref="O4:Q4"/>
    <mergeCell ref="R4:T4"/>
    <mergeCell ref="R36:T36"/>
    <mergeCell ref="R68:T68"/>
    <mergeCell ref="R100:T100"/>
    <mergeCell ref="R132:T132"/>
    <mergeCell ref="U4:W4"/>
    <mergeCell ref="U36:W36"/>
    <mergeCell ref="U68:W68"/>
    <mergeCell ref="U100:W100"/>
    <mergeCell ref="U132:W132"/>
    <mergeCell ref="AA132:AC132"/>
    <mergeCell ref="AA4:AC4"/>
    <mergeCell ref="AA36:AC36"/>
    <mergeCell ref="AA68:AC68"/>
    <mergeCell ref="AA100:AC100"/>
    <mergeCell ref="AD4:AF4"/>
    <mergeCell ref="AD36:AF36"/>
    <mergeCell ref="AD68:AF68"/>
    <mergeCell ref="AD100:AF100"/>
    <mergeCell ref="AD132:AF132"/>
    <mergeCell ref="AG4:AI4"/>
    <mergeCell ref="AG36:AI36"/>
    <mergeCell ref="AG68:AI68"/>
    <mergeCell ref="AG100:AI100"/>
    <mergeCell ref="AG132:AI132"/>
  </mergeCells>
  <pageMargins left="0.70866141732283472" right="0.70866141732283472" top="0.74803149606299213" bottom="0.74803149606299213" header="0.31496062992125984" footer="0.31496062992125984"/>
  <pageSetup paperSize="9" scale="20" orientation="landscape" r:id="rId1"/>
  <ignoredErrors>
    <ignoredError sqref="T24:T27 T29:T30 Z29 AC23:AC32"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M62"/>
  <sheetViews>
    <sheetView zoomScaleNormal="100" workbookViewId="0">
      <pane ySplit="2" topLeftCell="A3" activePane="bottomLeft" state="frozen"/>
      <selection activeCell="K42" sqref="K42"/>
      <selection pane="bottomLeft" activeCell="B1" sqref="B1"/>
    </sheetView>
  </sheetViews>
  <sheetFormatPr defaultColWidth="9" defaultRowHeight="15" x14ac:dyDescent="0.25"/>
  <cols>
    <col min="1" max="1" width="1.625" style="1" customWidth="1"/>
    <col min="2" max="2" width="44" style="1" customWidth="1"/>
    <col min="3" max="10" width="10" style="1" customWidth="1"/>
    <col min="11" max="16384" width="9" style="1"/>
  </cols>
  <sheetData>
    <row r="2" spans="2:13" ht="18.75" x14ac:dyDescent="0.3">
      <c r="B2" s="4" t="s">
        <v>281</v>
      </c>
    </row>
    <row r="3" spans="2:13" ht="18.75" x14ac:dyDescent="0.3">
      <c r="B3" s="4"/>
    </row>
    <row r="4" spans="2:13" ht="18.75" x14ac:dyDescent="0.3">
      <c r="B4" s="15" t="s">
        <v>104</v>
      </c>
      <c r="C4" s="16">
        <v>2012</v>
      </c>
      <c r="D4" s="16">
        <v>2013</v>
      </c>
      <c r="E4" s="16">
        <v>2014</v>
      </c>
      <c r="F4" s="16">
        <v>2015</v>
      </c>
      <c r="G4" s="16">
        <v>2016</v>
      </c>
      <c r="H4" s="16">
        <v>2017</v>
      </c>
      <c r="I4" s="16">
        <v>2018</v>
      </c>
      <c r="J4" s="16">
        <v>2019</v>
      </c>
      <c r="K4" s="16">
        <v>2020</v>
      </c>
      <c r="L4" s="16">
        <v>2021</v>
      </c>
      <c r="M4" s="16">
        <v>2022</v>
      </c>
    </row>
    <row r="5" spans="2:13" x14ac:dyDescent="0.25">
      <c r="B5" s="2" t="s">
        <v>128</v>
      </c>
      <c r="C5" s="10">
        <v>6570</v>
      </c>
      <c r="D5" s="10">
        <v>6702</v>
      </c>
      <c r="E5" s="10">
        <v>5754</v>
      </c>
      <c r="F5" s="10">
        <v>5247</v>
      </c>
      <c r="G5" s="10">
        <v>4642</v>
      </c>
      <c r="H5" s="10">
        <v>4671</v>
      </c>
      <c r="I5" s="10">
        <v>4909</v>
      </c>
      <c r="J5" s="10">
        <v>5141</v>
      </c>
      <c r="K5" s="10">
        <v>4450</v>
      </c>
      <c r="L5" s="10">
        <v>4258</v>
      </c>
      <c r="M5" s="10">
        <v>4584</v>
      </c>
    </row>
    <row r="6" spans="2:13" x14ac:dyDescent="0.25">
      <c r="B6" s="2" t="s">
        <v>129</v>
      </c>
      <c r="C6" s="10">
        <v>2437</v>
      </c>
      <c r="D6" s="10">
        <v>2313</v>
      </c>
      <c r="E6" s="10">
        <v>1955</v>
      </c>
      <c r="F6" s="10">
        <v>1751</v>
      </c>
      <c r="G6" s="10">
        <v>1598</v>
      </c>
      <c r="H6" s="10">
        <v>1581</v>
      </c>
      <c r="I6" s="10">
        <v>1587</v>
      </c>
      <c r="J6" s="10">
        <v>1552</v>
      </c>
      <c r="K6" s="10">
        <v>1389</v>
      </c>
      <c r="L6" s="10">
        <v>1336</v>
      </c>
      <c r="M6" s="10">
        <v>1356</v>
      </c>
    </row>
    <row r="7" spans="2:13" x14ac:dyDescent="0.25">
      <c r="B7" s="2" t="s">
        <v>130</v>
      </c>
      <c r="C7" s="79">
        <f>C6/C5</f>
        <v>0.37092846270928465</v>
      </c>
      <c r="D7" s="79">
        <f t="shared" ref="D7:F7" si="0">D6/D5</f>
        <v>0.34512085944494181</v>
      </c>
      <c r="E7" s="79">
        <f t="shared" si="0"/>
        <v>0.33976364268335069</v>
      </c>
      <c r="F7" s="79">
        <f t="shared" si="0"/>
        <v>0.33371450352582427</v>
      </c>
      <c r="G7" s="93">
        <v>0.34</v>
      </c>
      <c r="H7" s="79">
        <f t="shared" ref="H7:M7" si="1">H6/H5</f>
        <v>0.3384714193962749</v>
      </c>
      <c r="I7" s="79">
        <f t="shared" si="1"/>
        <v>0.32328376451415769</v>
      </c>
      <c r="J7" s="79">
        <f t="shared" si="1"/>
        <v>0.30188679245283018</v>
      </c>
      <c r="K7" s="79">
        <f t="shared" si="1"/>
        <v>0.31213483146067417</v>
      </c>
      <c r="L7" s="79">
        <f t="shared" si="1"/>
        <v>0.3137623297322687</v>
      </c>
      <c r="M7" s="79">
        <f t="shared" si="1"/>
        <v>0.29581151832460734</v>
      </c>
    </row>
    <row r="8" spans="2:13" x14ac:dyDescent="0.25">
      <c r="B8" s="28"/>
    </row>
    <row r="9" spans="2:13" x14ac:dyDescent="0.25">
      <c r="B9" s="28"/>
    </row>
    <row r="12" spans="2:13" ht="18.75" x14ac:dyDescent="0.3">
      <c r="B12" s="15" t="s">
        <v>105</v>
      </c>
      <c r="C12" s="16">
        <v>2012</v>
      </c>
      <c r="D12" s="16">
        <v>2013</v>
      </c>
      <c r="E12" s="16">
        <v>2014</v>
      </c>
      <c r="F12" s="16">
        <v>2015</v>
      </c>
      <c r="G12" s="16">
        <v>2016</v>
      </c>
      <c r="H12" s="16">
        <v>2017</v>
      </c>
      <c r="I12" s="16">
        <v>2018</v>
      </c>
      <c r="J12" s="16">
        <v>2019</v>
      </c>
      <c r="K12" s="16">
        <v>2020</v>
      </c>
      <c r="L12" s="16">
        <v>2021</v>
      </c>
      <c r="M12" s="16">
        <v>2022</v>
      </c>
    </row>
    <row r="13" spans="2:13" x14ac:dyDescent="0.25">
      <c r="B13" s="2" t="s">
        <v>128</v>
      </c>
      <c r="C13" s="10">
        <v>3326</v>
      </c>
      <c r="D13" s="10">
        <v>3184</v>
      </c>
      <c r="E13" s="10">
        <v>2981</v>
      </c>
      <c r="F13" s="10">
        <v>2980</v>
      </c>
      <c r="G13" s="10">
        <v>2875</v>
      </c>
      <c r="H13" s="10">
        <v>2802</v>
      </c>
      <c r="I13" s="10">
        <v>2776</v>
      </c>
      <c r="J13" s="10">
        <v>2730</v>
      </c>
      <c r="K13" s="10">
        <v>2487</v>
      </c>
      <c r="L13" s="10">
        <v>2410</v>
      </c>
      <c r="M13" s="10">
        <v>2282</v>
      </c>
    </row>
    <row r="14" spans="2:13" x14ac:dyDescent="0.25">
      <c r="B14" s="2" t="s">
        <v>291</v>
      </c>
      <c r="C14" s="10">
        <v>1150</v>
      </c>
      <c r="D14" s="10">
        <v>1111</v>
      </c>
      <c r="E14" s="10">
        <v>1049</v>
      </c>
      <c r="F14" s="10">
        <v>1070</v>
      </c>
      <c r="G14" s="10">
        <v>1016</v>
      </c>
      <c r="H14" s="10">
        <v>987</v>
      </c>
      <c r="I14" s="10">
        <v>916</v>
      </c>
      <c r="J14" s="10">
        <v>897</v>
      </c>
      <c r="K14" s="10">
        <v>702</v>
      </c>
      <c r="L14" s="10">
        <v>871</v>
      </c>
      <c r="M14" s="10">
        <v>924</v>
      </c>
    </row>
    <row r="15" spans="2:13" x14ac:dyDescent="0.25">
      <c r="B15" s="2" t="s">
        <v>130</v>
      </c>
      <c r="C15" s="79">
        <f t="shared" ref="C15:G15" si="2">C14/C13</f>
        <v>0.34576067348165967</v>
      </c>
      <c r="D15" s="79">
        <f t="shared" si="2"/>
        <v>0.34893216080402012</v>
      </c>
      <c r="E15" s="79">
        <f t="shared" si="2"/>
        <v>0.35189533713518956</v>
      </c>
      <c r="F15" s="79">
        <f t="shared" si="2"/>
        <v>0.35906040268456374</v>
      </c>
      <c r="G15" s="79">
        <f t="shared" si="2"/>
        <v>0.35339130434782606</v>
      </c>
      <c r="H15" s="79">
        <f t="shared" ref="H15:M15" si="3">H14/H13</f>
        <v>0.35224839400428265</v>
      </c>
      <c r="I15" s="79">
        <f t="shared" si="3"/>
        <v>0.32997118155619598</v>
      </c>
      <c r="J15" s="79">
        <f t="shared" si="3"/>
        <v>0.32857142857142857</v>
      </c>
      <c r="K15" s="79">
        <f t="shared" si="3"/>
        <v>0.28226779252110978</v>
      </c>
      <c r="L15" s="79">
        <f t="shared" si="3"/>
        <v>0.36141078838174273</v>
      </c>
      <c r="M15" s="79">
        <f t="shared" si="3"/>
        <v>0.40490797546012269</v>
      </c>
    </row>
    <row r="16" spans="2:13" x14ac:dyDescent="0.25">
      <c r="B16" s="28"/>
    </row>
    <row r="17" spans="2:13" x14ac:dyDescent="0.25">
      <c r="B17" s="38" t="s">
        <v>339</v>
      </c>
    </row>
    <row r="18" spans="2:13" x14ac:dyDescent="0.25">
      <c r="B18" s="96" t="s">
        <v>338</v>
      </c>
    </row>
    <row r="19" spans="2:13" x14ac:dyDescent="0.25">
      <c r="B19" s="122"/>
    </row>
    <row r="21" spans="2:13" ht="18.75" x14ac:dyDescent="0.3">
      <c r="B21" s="15" t="s">
        <v>106</v>
      </c>
      <c r="C21" s="16">
        <v>2012</v>
      </c>
      <c r="D21" s="16">
        <v>2013</v>
      </c>
      <c r="E21" s="16">
        <v>2014</v>
      </c>
      <c r="F21" s="16">
        <v>2015</v>
      </c>
      <c r="G21" s="16">
        <v>2016</v>
      </c>
      <c r="H21" s="16">
        <v>2017</v>
      </c>
      <c r="I21" s="16">
        <v>2018</v>
      </c>
      <c r="J21" s="16">
        <v>2019</v>
      </c>
      <c r="K21" s="16">
        <v>2020</v>
      </c>
      <c r="L21" s="16">
        <v>2021</v>
      </c>
      <c r="M21" s="16">
        <v>2022</v>
      </c>
    </row>
    <row r="22" spans="2:13" x14ac:dyDescent="0.25">
      <c r="B22" s="2" t="s">
        <v>128</v>
      </c>
      <c r="C22" s="2">
        <v>228</v>
      </c>
      <c r="D22" s="2">
        <v>205</v>
      </c>
      <c r="E22" s="2">
        <v>191</v>
      </c>
      <c r="F22" s="2">
        <v>205</v>
      </c>
      <c r="G22" s="19">
        <v>169</v>
      </c>
      <c r="H22" s="19">
        <v>143</v>
      </c>
      <c r="I22" s="19">
        <v>151</v>
      </c>
      <c r="J22" s="19">
        <v>198</v>
      </c>
      <c r="K22" s="19">
        <v>172</v>
      </c>
      <c r="L22" s="19">
        <v>142</v>
      </c>
      <c r="M22" s="19">
        <v>162</v>
      </c>
    </row>
    <row r="23" spans="2:13" x14ac:dyDescent="0.25">
      <c r="B23" s="2" t="s">
        <v>129</v>
      </c>
      <c r="C23" s="2">
        <v>42</v>
      </c>
      <c r="D23" s="2">
        <v>41</v>
      </c>
      <c r="E23" s="2">
        <v>38</v>
      </c>
      <c r="F23" s="2">
        <v>48</v>
      </c>
      <c r="G23" s="19">
        <v>33</v>
      </c>
      <c r="H23" s="19">
        <v>20</v>
      </c>
      <c r="I23" s="19">
        <v>32</v>
      </c>
      <c r="J23" s="19">
        <v>43</v>
      </c>
      <c r="K23" s="19">
        <v>36</v>
      </c>
      <c r="L23" s="19">
        <v>20</v>
      </c>
      <c r="M23" s="19">
        <v>22</v>
      </c>
    </row>
    <row r="24" spans="2:13" x14ac:dyDescent="0.25">
      <c r="B24" s="2" t="s">
        <v>130</v>
      </c>
      <c r="C24" s="79">
        <f t="shared" ref="C24:E24" si="4">C23/C22</f>
        <v>0.18421052631578946</v>
      </c>
      <c r="D24" s="79">
        <f t="shared" si="4"/>
        <v>0.2</v>
      </c>
      <c r="E24" s="79">
        <f t="shared" si="4"/>
        <v>0.19895287958115182</v>
      </c>
      <c r="F24" s="79">
        <f t="shared" ref="F24:K24" si="5">F23/F22</f>
        <v>0.23414634146341465</v>
      </c>
      <c r="G24" s="79">
        <f t="shared" si="5"/>
        <v>0.19526627218934911</v>
      </c>
      <c r="H24" s="79">
        <f t="shared" si="5"/>
        <v>0.13986013986013987</v>
      </c>
      <c r="I24" s="79">
        <f t="shared" si="5"/>
        <v>0.2119205298013245</v>
      </c>
      <c r="J24" s="79">
        <f t="shared" si="5"/>
        <v>0.21717171717171718</v>
      </c>
      <c r="K24" s="79">
        <f t="shared" si="5"/>
        <v>0.20930232558139536</v>
      </c>
      <c r="L24" s="79">
        <f t="shared" ref="L24:M24" si="6">L23/L22</f>
        <v>0.14084507042253522</v>
      </c>
      <c r="M24" s="79">
        <f t="shared" si="6"/>
        <v>0.13580246913580246</v>
      </c>
    </row>
    <row r="25" spans="2:13" x14ac:dyDescent="0.25">
      <c r="B25" s="28"/>
    </row>
    <row r="26" spans="2:13" x14ac:dyDescent="0.25">
      <c r="B26" s="28"/>
    </row>
    <row r="29" spans="2:13" ht="18.75" x14ac:dyDescent="0.3">
      <c r="B29" s="15" t="s">
        <v>373</v>
      </c>
      <c r="C29" s="16">
        <v>2012</v>
      </c>
      <c r="D29" s="16">
        <v>2013</v>
      </c>
      <c r="E29" s="16">
        <v>2014</v>
      </c>
      <c r="F29" s="16">
        <v>2015</v>
      </c>
      <c r="G29" s="16">
        <v>2016</v>
      </c>
      <c r="H29" s="16">
        <v>2017</v>
      </c>
      <c r="I29" s="16">
        <v>2018</v>
      </c>
      <c r="J29" s="16">
        <v>2019</v>
      </c>
      <c r="K29" s="16">
        <v>2020</v>
      </c>
      <c r="L29" s="16">
        <v>2021</v>
      </c>
      <c r="M29" s="16">
        <v>2022</v>
      </c>
    </row>
    <row r="30" spans="2:13" x14ac:dyDescent="0.25">
      <c r="B30" s="2" t="s">
        <v>374</v>
      </c>
      <c r="C30" s="69">
        <v>5473</v>
      </c>
      <c r="D30" s="10">
        <v>5514</v>
      </c>
      <c r="E30" s="10">
        <v>5023</v>
      </c>
      <c r="F30" s="18">
        <v>4917</v>
      </c>
      <c r="G30" s="18">
        <v>5548</v>
      </c>
      <c r="H30" s="19">
        <v>4836</v>
      </c>
      <c r="I30" s="18">
        <v>4286</v>
      </c>
      <c r="J30" s="18">
        <v>3863</v>
      </c>
      <c r="K30" s="18">
        <v>3177</v>
      </c>
      <c r="L30" s="18">
        <v>3899</v>
      </c>
      <c r="M30" s="19" t="s">
        <v>226</v>
      </c>
    </row>
    <row r="31" spans="2:13" x14ac:dyDescent="0.25">
      <c r="B31" s="2" t="s">
        <v>306</v>
      </c>
      <c r="C31" s="88">
        <v>1211</v>
      </c>
      <c r="D31" s="69">
        <v>1389</v>
      </c>
      <c r="E31" s="10">
        <v>1196</v>
      </c>
      <c r="F31" s="18">
        <v>1123</v>
      </c>
      <c r="G31" s="18">
        <v>1241</v>
      </c>
      <c r="H31" s="19">
        <v>905</v>
      </c>
      <c r="I31" s="18">
        <v>817</v>
      </c>
      <c r="J31" s="19">
        <v>684</v>
      </c>
      <c r="K31" s="18">
        <v>509</v>
      </c>
      <c r="L31" s="19">
        <v>629</v>
      </c>
      <c r="M31" s="19" t="s">
        <v>226</v>
      </c>
    </row>
    <row r="32" spans="2:13" x14ac:dyDescent="0.25">
      <c r="B32" s="2" t="s">
        <v>130</v>
      </c>
      <c r="C32" s="79">
        <f t="shared" ref="C32:K32" si="7">C31/C30</f>
        <v>0.22126804312077472</v>
      </c>
      <c r="D32" s="79">
        <f t="shared" si="7"/>
        <v>0.25190424374319914</v>
      </c>
      <c r="E32" s="79">
        <f t="shared" si="7"/>
        <v>0.23810471829583915</v>
      </c>
      <c r="F32" s="79">
        <f t="shared" si="7"/>
        <v>0.22839129550538947</v>
      </c>
      <c r="G32" s="79">
        <f t="shared" si="7"/>
        <v>0.22368421052631579</v>
      </c>
      <c r="H32" s="79">
        <f t="shared" si="7"/>
        <v>0.18713813068651777</v>
      </c>
      <c r="I32" s="79">
        <f t="shared" si="7"/>
        <v>0.19062062529164722</v>
      </c>
      <c r="J32" s="79">
        <f t="shared" si="7"/>
        <v>0.17706445767538181</v>
      </c>
      <c r="K32" s="79">
        <f t="shared" si="7"/>
        <v>0.16021403840100723</v>
      </c>
      <c r="L32" s="79">
        <f t="shared" ref="L32" si="8">L31/L30</f>
        <v>0.16132341626057964</v>
      </c>
      <c r="M32" s="19" t="s">
        <v>226</v>
      </c>
    </row>
    <row r="33" spans="2:13" x14ac:dyDescent="0.25">
      <c r="B33" s="28"/>
    </row>
    <row r="34" spans="2:13" x14ac:dyDescent="0.25">
      <c r="B34" s="14" t="s">
        <v>372</v>
      </c>
    </row>
    <row r="35" spans="2:13" x14ac:dyDescent="0.25">
      <c r="B35" s="96" t="s">
        <v>358</v>
      </c>
    </row>
    <row r="36" spans="2:13" x14ac:dyDescent="0.25">
      <c r="B36" s="96"/>
    </row>
    <row r="37" spans="2:13" x14ac:dyDescent="0.25">
      <c r="B37" s="96"/>
    </row>
    <row r="39" spans="2:13" ht="18.75" x14ac:dyDescent="0.3">
      <c r="B39" s="15" t="s">
        <v>107</v>
      </c>
      <c r="C39" s="16">
        <v>2012</v>
      </c>
      <c r="D39" s="16">
        <v>2013</v>
      </c>
      <c r="E39" s="16">
        <v>2014</v>
      </c>
      <c r="F39" s="16">
        <v>2015</v>
      </c>
      <c r="G39" s="16">
        <v>2016</v>
      </c>
      <c r="H39" s="16">
        <v>2017</v>
      </c>
      <c r="I39" s="16">
        <v>2018</v>
      </c>
      <c r="J39" s="16">
        <v>2019</v>
      </c>
      <c r="K39" s="16">
        <v>2020</v>
      </c>
      <c r="L39" s="16">
        <v>2021</v>
      </c>
      <c r="M39" s="16">
        <v>2022</v>
      </c>
    </row>
    <row r="40" spans="2:13" x14ac:dyDescent="0.25">
      <c r="B40" s="2" t="s">
        <v>128</v>
      </c>
      <c r="C40" s="35">
        <v>9425</v>
      </c>
      <c r="D40" s="35">
        <v>8828</v>
      </c>
      <c r="E40" s="35">
        <v>8350</v>
      </c>
      <c r="F40" s="35">
        <v>8158</v>
      </c>
      <c r="G40" s="10">
        <v>7879</v>
      </c>
      <c r="H40" s="10">
        <v>7792</v>
      </c>
      <c r="I40" s="20">
        <v>7959</v>
      </c>
      <c r="J40" s="10">
        <v>7995</v>
      </c>
      <c r="K40" s="20">
        <v>7883</v>
      </c>
      <c r="L40" s="10">
        <v>8105</v>
      </c>
      <c r="M40" s="10">
        <v>8712</v>
      </c>
    </row>
    <row r="41" spans="2:13" x14ac:dyDescent="0.25">
      <c r="B41" s="2" t="s">
        <v>129</v>
      </c>
      <c r="C41" s="20">
        <v>3261</v>
      </c>
      <c r="D41" s="20">
        <v>2962</v>
      </c>
      <c r="E41" s="20">
        <v>2823</v>
      </c>
      <c r="F41" s="20">
        <v>2653</v>
      </c>
      <c r="G41" s="10">
        <v>2561</v>
      </c>
      <c r="H41" s="10">
        <v>2471</v>
      </c>
      <c r="I41" s="20">
        <v>2530</v>
      </c>
      <c r="J41" s="10">
        <v>2479</v>
      </c>
      <c r="K41" s="20">
        <v>2596</v>
      </c>
      <c r="L41" s="10">
        <v>2490</v>
      </c>
      <c r="M41" s="10">
        <v>2743</v>
      </c>
    </row>
    <row r="42" spans="2:13" x14ac:dyDescent="0.25">
      <c r="B42" s="2" t="s">
        <v>130</v>
      </c>
      <c r="C42" s="36">
        <f t="shared" ref="C42:F42" si="9">C41/C40</f>
        <v>0.34599469496021218</v>
      </c>
      <c r="D42" s="36">
        <f t="shared" si="9"/>
        <v>0.33552333484367919</v>
      </c>
      <c r="E42" s="36">
        <f t="shared" si="9"/>
        <v>0.33808383233532935</v>
      </c>
      <c r="F42" s="36">
        <f t="shared" si="9"/>
        <v>0.32520225545476833</v>
      </c>
      <c r="G42" s="36">
        <f t="shared" ref="G42:L42" si="10">G41/G40</f>
        <v>0.32504124888945296</v>
      </c>
      <c r="H42" s="36">
        <f t="shared" si="10"/>
        <v>0.31712012320328542</v>
      </c>
      <c r="I42" s="36">
        <f t="shared" si="10"/>
        <v>0.31787913054403821</v>
      </c>
      <c r="J42" s="36">
        <f t="shared" si="10"/>
        <v>0.31006879299562229</v>
      </c>
      <c r="K42" s="36">
        <f t="shared" si="10"/>
        <v>0.32931625015856908</v>
      </c>
      <c r="L42" s="36">
        <f t="shared" si="10"/>
        <v>0.30721776681061075</v>
      </c>
      <c r="M42" s="36">
        <f t="shared" ref="M42" si="11">M41/M40</f>
        <v>0.3148530762167126</v>
      </c>
    </row>
    <row r="43" spans="2:13" x14ac:dyDescent="0.25">
      <c r="B43" s="28"/>
      <c r="C43" s="30"/>
      <c r="D43" s="30"/>
      <c r="E43" s="30"/>
      <c r="F43" s="30"/>
      <c r="G43" s="8"/>
      <c r="H43" s="8"/>
    </row>
    <row r="44" spans="2:13" x14ac:dyDescent="0.25">
      <c r="B44" s="28"/>
      <c r="C44" s="30"/>
      <c r="D44" s="30"/>
      <c r="E44" s="30"/>
      <c r="F44" s="29"/>
      <c r="G44" s="18"/>
      <c r="H44" s="18"/>
    </row>
    <row r="45" spans="2:13" x14ac:dyDescent="0.25">
      <c r="B45" s="14" t="s">
        <v>236</v>
      </c>
      <c r="C45" s="2"/>
      <c r="D45" s="2"/>
      <c r="E45" s="2"/>
      <c r="F45" s="2"/>
      <c r="G45" s="8"/>
      <c r="H45" s="8"/>
    </row>
    <row r="46" spans="2:13" x14ac:dyDescent="0.25">
      <c r="B46" s="22"/>
      <c r="C46" s="2"/>
      <c r="D46" s="2"/>
      <c r="E46" s="2"/>
      <c r="F46" s="2"/>
      <c r="G46" s="2"/>
      <c r="H46" s="2"/>
    </row>
    <row r="47" spans="2:13" x14ac:dyDescent="0.25">
      <c r="B47" s="28"/>
      <c r="C47" s="2"/>
      <c r="D47" s="2"/>
      <c r="E47" s="2"/>
      <c r="F47" s="2"/>
      <c r="G47" s="2"/>
      <c r="H47" s="2"/>
    </row>
    <row r="48" spans="2:13" x14ac:dyDescent="0.25">
      <c r="B48" s="11"/>
      <c r="C48" s="2"/>
      <c r="D48" s="2"/>
      <c r="E48" s="2"/>
      <c r="F48" s="2"/>
      <c r="G48" s="19"/>
      <c r="H48" s="19"/>
    </row>
    <row r="49" spans="2:8" x14ac:dyDescent="0.25">
      <c r="B49" s="28"/>
      <c r="C49" s="2"/>
      <c r="D49" s="2"/>
      <c r="E49" s="2"/>
      <c r="F49" s="2"/>
      <c r="G49" s="19"/>
      <c r="H49" s="19"/>
    </row>
    <row r="50" spans="2:8" x14ac:dyDescent="0.25">
      <c r="B50" s="28"/>
      <c r="C50" s="2"/>
      <c r="D50" s="2"/>
      <c r="E50" s="2"/>
      <c r="F50" s="2"/>
      <c r="G50" s="19"/>
      <c r="H50" s="19"/>
    </row>
    <row r="51" spans="2:8" x14ac:dyDescent="0.25">
      <c r="B51" s="2"/>
      <c r="C51" s="2"/>
      <c r="D51" s="2"/>
      <c r="E51" s="2"/>
      <c r="F51" s="2"/>
      <c r="G51" s="8"/>
      <c r="H51" s="8"/>
    </row>
    <row r="52" spans="2:8" x14ac:dyDescent="0.25">
      <c r="B52" s="22"/>
      <c r="C52" s="2"/>
      <c r="D52" s="2"/>
      <c r="E52" s="2"/>
      <c r="F52" s="2"/>
      <c r="G52" s="8"/>
      <c r="H52" s="8"/>
    </row>
    <row r="53" spans="2:8" x14ac:dyDescent="0.25">
      <c r="B53" s="28"/>
      <c r="C53" s="2"/>
      <c r="D53" s="2"/>
      <c r="E53" s="2"/>
      <c r="F53" s="2"/>
      <c r="G53" s="19"/>
      <c r="H53" s="19"/>
    </row>
    <row r="54" spans="2:8" x14ac:dyDescent="0.25">
      <c r="B54" s="11"/>
      <c r="C54" s="2"/>
      <c r="D54" s="2"/>
      <c r="E54" s="2"/>
      <c r="F54" s="2"/>
      <c r="G54" s="19"/>
      <c r="H54" s="19"/>
    </row>
    <row r="55" spans="2:8" x14ac:dyDescent="0.25">
      <c r="B55" s="28"/>
      <c r="C55" s="2"/>
      <c r="D55" s="2"/>
      <c r="E55" s="2"/>
      <c r="F55" s="2"/>
      <c r="G55" s="8"/>
      <c r="H55" s="8"/>
    </row>
    <row r="56" spans="2:8" x14ac:dyDescent="0.25">
      <c r="B56" s="28"/>
      <c r="C56" s="2"/>
      <c r="D56" s="2"/>
      <c r="E56" s="23"/>
      <c r="F56" s="23"/>
      <c r="G56" s="8"/>
      <c r="H56" s="8"/>
    </row>
    <row r="57" spans="2:8" x14ac:dyDescent="0.25">
      <c r="B57" s="2"/>
      <c r="C57" s="2"/>
      <c r="D57" s="2"/>
      <c r="E57" s="2"/>
      <c r="F57" s="2"/>
    </row>
    <row r="58" spans="2:8" x14ac:dyDescent="0.25">
      <c r="B58" s="22"/>
      <c r="C58" s="10"/>
      <c r="D58" s="10"/>
      <c r="E58" s="10"/>
      <c r="F58" s="10"/>
    </row>
    <row r="59" spans="2:8" x14ac:dyDescent="0.25">
      <c r="B59" s="6"/>
    </row>
    <row r="60" spans="2:8" x14ac:dyDescent="0.25">
      <c r="B60" s="6"/>
    </row>
    <row r="61" spans="2:8" x14ac:dyDescent="0.25">
      <c r="B61" s="6"/>
    </row>
    <row r="62" spans="2:8" x14ac:dyDescent="0.25">
      <c r="B62" s="7"/>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18"/>
  <sheetViews>
    <sheetView zoomScaleNormal="100" workbookViewId="0">
      <pane ySplit="2" topLeftCell="A3" activePane="bottomLeft" state="frozen"/>
      <selection activeCell="K42" sqref="K42"/>
      <selection pane="bottomLeft"/>
    </sheetView>
  </sheetViews>
  <sheetFormatPr defaultColWidth="9" defaultRowHeight="15" x14ac:dyDescent="0.25"/>
  <cols>
    <col min="1" max="1" width="1.625" style="1" customWidth="1"/>
    <col min="2" max="2" width="44" style="1" customWidth="1"/>
    <col min="3" max="8" width="10" style="1" customWidth="1"/>
    <col min="9" max="9" width="9" style="1"/>
    <col min="10" max="10" width="10" style="1" customWidth="1"/>
    <col min="11" max="16384" width="9" style="1"/>
  </cols>
  <sheetData>
    <row r="2" spans="2:13" ht="18.75" x14ac:dyDescent="0.3">
      <c r="B2" s="4" t="s">
        <v>246</v>
      </c>
    </row>
    <row r="3" spans="2:13" ht="18.75" x14ac:dyDescent="0.3">
      <c r="B3" s="4"/>
    </row>
    <row r="4" spans="2:13" ht="18.75" x14ac:dyDescent="0.3">
      <c r="B4" s="15"/>
      <c r="C4" s="16">
        <v>2014</v>
      </c>
      <c r="D4" s="16">
        <v>2015</v>
      </c>
      <c r="E4" s="16">
        <v>2016</v>
      </c>
      <c r="F4" s="16">
        <v>2017</v>
      </c>
      <c r="G4" s="16">
        <v>2018</v>
      </c>
      <c r="H4" s="16">
        <v>2019</v>
      </c>
      <c r="I4" s="16">
        <v>2020</v>
      </c>
      <c r="J4" s="16">
        <v>2021</v>
      </c>
      <c r="K4" s="16">
        <v>2022</v>
      </c>
      <c r="L4" s="16">
        <v>2023</v>
      </c>
      <c r="M4" s="16">
        <v>2024</v>
      </c>
    </row>
    <row r="5" spans="2:13" x14ac:dyDescent="0.25">
      <c r="B5" s="2" t="s">
        <v>1</v>
      </c>
      <c r="C5" s="2">
        <v>6.3</v>
      </c>
      <c r="D5" s="2">
        <v>7.3</v>
      </c>
      <c r="E5" s="2">
        <v>6.9</v>
      </c>
      <c r="F5" s="92">
        <v>7</v>
      </c>
      <c r="G5" s="2">
        <v>8.1</v>
      </c>
      <c r="H5" s="2">
        <v>8.1999999999999993</v>
      </c>
      <c r="I5" s="2">
        <v>9.1</v>
      </c>
      <c r="J5" s="2">
        <v>10.1</v>
      </c>
      <c r="K5" s="2">
        <v>9.6</v>
      </c>
      <c r="L5" s="118">
        <v>9.5</v>
      </c>
      <c r="M5" s="118">
        <v>9.5</v>
      </c>
    </row>
    <row r="6" spans="2:13" x14ac:dyDescent="0.25">
      <c r="B6" s="2" t="s">
        <v>2</v>
      </c>
      <c r="C6" s="2">
        <v>12.4</v>
      </c>
      <c r="D6" s="2">
        <v>12.4</v>
      </c>
      <c r="E6" s="2">
        <v>12.4</v>
      </c>
      <c r="F6" s="2">
        <v>11.8</v>
      </c>
      <c r="G6" s="2">
        <v>11.2</v>
      </c>
      <c r="H6" s="2">
        <v>11.1</v>
      </c>
      <c r="I6" s="2">
        <v>11.5</v>
      </c>
      <c r="J6" s="19">
        <v>11.6</v>
      </c>
      <c r="K6" s="2">
        <v>12.1</v>
      </c>
      <c r="L6" s="19">
        <v>13.1</v>
      </c>
      <c r="M6" s="19"/>
    </row>
    <row r="7" spans="2:13" x14ac:dyDescent="0.25">
      <c r="B7" s="2" t="s">
        <v>3</v>
      </c>
      <c r="C7" s="2">
        <v>7.6</v>
      </c>
      <c r="D7" s="37">
        <v>7</v>
      </c>
      <c r="E7" s="2">
        <v>7.2</v>
      </c>
      <c r="F7" s="2">
        <v>6.8</v>
      </c>
      <c r="G7" s="37">
        <v>7</v>
      </c>
      <c r="H7" s="37">
        <v>7.9</v>
      </c>
      <c r="I7" s="37">
        <v>7.3</v>
      </c>
      <c r="J7" s="37">
        <v>8.6</v>
      </c>
      <c r="K7" s="37">
        <v>9.1</v>
      </c>
      <c r="L7" s="37">
        <v>8.35</v>
      </c>
      <c r="M7" s="37">
        <v>9.7799999999999994</v>
      </c>
    </row>
    <row r="8" spans="2:13" x14ac:dyDescent="0.25">
      <c r="B8" s="2" t="s">
        <v>4</v>
      </c>
      <c r="C8" s="2">
        <v>6.3</v>
      </c>
      <c r="D8" s="2">
        <v>6.3</v>
      </c>
      <c r="E8" s="2">
        <v>6.2</v>
      </c>
      <c r="F8" s="2">
        <v>6.5</v>
      </c>
      <c r="G8" s="2">
        <v>6.6</v>
      </c>
      <c r="H8" s="2">
        <v>6.5</v>
      </c>
      <c r="I8" s="37">
        <v>6.8</v>
      </c>
      <c r="J8" s="19">
        <v>7.2</v>
      </c>
      <c r="K8" s="37">
        <v>6.9</v>
      </c>
      <c r="L8" s="19">
        <v>6.4</v>
      </c>
      <c r="M8" s="19">
        <v>7.1</v>
      </c>
    </row>
    <row r="9" spans="2:13" x14ac:dyDescent="0.25">
      <c r="B9" s="2" t="s">
        <v>5</v>
      </c>
      <c r="C9" s="37">
        <f>252.4/30</f>
        <v>8.413333333333334</v>
      </c>
      <c r="D9" s="2">
        <v>8.3000000000000007</v>
      </c>
      <c r="E9" s="2">
        <v>8.6999999999999993</v>
      </c>
      <c r="F9" s="2">
        <v>8.9</v>
      </c>
      <c r="G9" s="2">
        <v>9.9</v>
      </c>
      <c r="H9" s="2">
        <v>10.9</v>
      </c>
      <c r="I9" s="23">
        <v>11.7</v>
      </c>
      <c r="J9" s="2">
        <v>12.3</v>
      </c>
      <c r="K9" s="23">
        <v>12.3</v>
      </c>
      <c r="L9" s="2">
        <v>12.6</v>
      </c>
      <c r="M9" s="2">
        <v>13.5</v>
      </c>
    </row>
    <row r="10" spans="2:13" x14ac:dyDescent="0.25">
      <c r="B10" s="2"/>
    </row>
    <row r="11" spans="2:13" x14ac:dyDescent="0.25">
      <c r="B11" s="22"/>
    </row>
    <row r="12" spans="2:13" x14ac:dyDescent="0.25">
      <c r="B12" s="14" t="s">
        <v>237</v>
      </c>
    </row>
    <row r="13" spans="2:13" x14ac:dyDescent="0.25">
      <c r="B13" s="13" t="s">
        <v>238</v>
      </c>
    </row>
    <row r="14" spans="2:13" x14ac:dyDescent="0.25">
      <c r="B14" s="13" t="s">
        <v>239</v>
      </c>
    </row>
    <row r="18" spans="2:2" x14ac:dyDescent="0.25">
      <c r="B18" s="156"/>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28"/>
  <sheetViews>
    <sheetView zoomScaleNormal="100" workbookViewId="0"/>
  </sheetViews>
  <sheetFormatPr defaultColWidth="9" defaultRowHeight="14.25" x14ac:dyDescent="0.2"/>
  <cols>
    <col min="1" max="1" width="4.125" customWidth="1"/>
    <col min="2" max="2" width="100.125" customWidth="1"/>
  </cols>
  <sheetData>
    <row r="1" spans="2:5" ht="18" x14ac:dyDescent="0.2">
      <c r="B1" s="58" t="s">
        <v>148</v>
      </c>
    </row>
    <row r="3" spans="2:5" ht="15.75" x14ac:dyDescent="0.2">
      <c r="B3" s="45" t="s">
        <v>149</v>
      </c>
    </row>
    <row r="4" spans="2:5" ht="15.75" x14ac:dyDescent="0.2">
      <c r="B4" s="54" t="s">
        <v>150</v>
      </c>
    </row>
    <row r="5" spans="2:5" ht="15.75" x14ac:dyDescent="0.2">
      <c r="B5" s="54"/>
    </row>
    <row r="6" spans="2:5" ht="15.75" x14ac:dyDescent="0.2">
      <c r="B6" s="57" t="s">
        <v>151</v>
      </c>
    </row>
    <row r="7" spans="2:5" ht="31.5" x14ac:dyDescent="0.2">
      <c r="B7" s="54" t="s">
        <v>152</v>
      </c>
    </row>
    <row r="8" spans="2:5" ht="47.25" x14ac:dyDescent="0.2">
      <c r="B8" s="54" t="s">
        <v>299</v>
      </c>
    </row>
    <row r="9" spans="2:5" ht="31.5" x14ac:dyDescent="0.2">
      <c r="B9" s="54" t="s">
        <v>153</v>
      </c>
    </row>
    <row r="10" spans="2:5" ht="15.75" x14ac:dyDescent="0.2">
      <c r="B10" s="54"/>
    </row>
    <row r="11" spans="2:5" ht="15.75" x14ac:dyDescent="0.2">
      <c r="B11" s="57" t="s">
        <v>87</v>
      </c>
    </row>
    <row r="12" spans="2:5" ht="110.25" x14ac:dyDescent="0.25">
      <c r="B12" s="54" t="s">
        <v>408</v>
      </c>
      <c r="E12" s="121"/>
    </row>
    <row r="13" spans="2:5" ht="15.75" x14ac:dyDescent="0.2">
      <c r="B13" s="54"/>
    </row>
    <row r="14" spans="2:5" ht="15.75" x14ac:dyDescent="0.2">
      <c r="B14" s="57" t="s">
        <v>9</v>
      </c>
    </row>
    <row r="15" spans="2:5" ht="47.25" x14ac:dyDescent="0.2">
      <c r="B15" s="54" t="s">
        <v>407</v>
      </c>
    </row>
    <row r="16" spans="2:5" ht="15.75" x14ac:dyDescent="0.2">
      <c r="B16" s="54"/>
    </row>
    <row r="17" spans="2:4" ht="15.75" x14ac:dyDescent="0.2">
      <c r="B17" s="57" t="s">
        <v>154</v>
      </c>
    </row>
    <row r="18" spans="2:4" ht="31.5" x14ac:dyDescent="0.2">
      <c r="B18" s="54" t="s">
        <v>285</v>
      </c>
    </row>
    <row r="19" spans="2:4" ht="15.75" x14ac:dyDescent="0.2">
      <c r="B19" s="54"/>
    </row>
    <row r="20" spans="2:4" ht="15.75" x14ac:dyDescent="0.2">
      <c r="B20" s="57" t="s">
        <v>155</v>
      </c>
    </row>
    <row r="21" spans="2:4" ht="78.75" x14ac:dyDescent="0.2">
      <c r="B21" s="54" t="s">
        <v>286</v>
      </c>
    </row>
    <row r="22" spans="2:4" ht="63" x14ac:dyDescent="0.2">
      <c r="B22" s="54" t="s">
        <v>357</v>
      </c>
    </row>
    <row r="23" spans="2:4" ht="110.25" x14ac:dyDescent="0.25">
      <c r="B23" s="103" t="s">
        <v>355</v>
      </c>
      <c r="D23" s="86"/>
    </row>
    <row r="24" spans="2:4" ht="94.5" x14ac:dyDescent="0.2">
      <c r="B24" s="54" t="s">
        <v>324</v>
      </c>
    </row>
    <row r="25" spans="2:4" ht="47.25" x14ac:dyDescent="0.2">
      <c r="B25" s="54" t="s">
        <v>323</v>
      </c>
    </row>
    <row r="26" spans="2:4" ht="47.25" x14ac:dyDescent="0.2">
      <c r="B26" s="54" t="s">
        <v>156</v>
      </c>
    </row>
    <row r="27" spans="2:4" ht="15.75" x14ac:dyDescent="0.2">
      <c r="B27" s="54"/>
    </row>
    <row r="28" spans="2:4" ht="15.75" x14ac:dyDescent="0.2">
      <c r="B28" s="57" t="s">
        <v>157</v>
      </c>
    </row>
    <row r="29" spans="2:4" ht="31.5" x14ac:dyDescent="0.2">
      <c r="B29" s="54" t="s">
        <v>158</v>
      </c>
    </row>
    <row r="30" spans="2:4" ht="15.75" x14ac:dyDescent="0.2">
      <c r="B30" s="54"/>
    </row>
    <row r="31" spans="2:4" ht="15.75" x14ac:dyDescent="0.2">
      <c r="B31" s="57" t="s">
        <v>159</v>
      </c>
    </row>
    <row r="32" spans="2:4" ht="31.5" x14ac:dyDescent="0.2">
      <c r="B32" s="54" t="s">
        <v>160</v>
      </c>
    </row>
    <row r="33" spans="2:2" ht="15.75" x14ac:dyDescent="0.2">
      <c r="B33" s="54"/>
    </row>
    <row r="34" spans="2:2" ht="15.75" x14ac:dyDescent="0.2">
      <c r="B34" s="57" t="s">
        <v>161</v>
      </c>
    </row>
    <row r="35" spans="2:2" ht="78.75" x14ac:dyDescent="0.2">
      <c r="B35" s="54" t="s">
        <v>162</v>
      </c>
    </row>
    <row r="36" spans="2:2" ht="15.75" x14ac:dyDescent="0.2">
      <c r="B36" s="54"/>
    </row>
    <row r="37" spans="2:2" ht="15.75" x14ac:dyDescent="0.2">
      <c r="B37" s="57" t="s">
        <v>163</v>
      </c>
    </row>
    <row r="38" spans="2:2" ht="31.5" x14ac:dyDescent="0.2">
      <c r="B38" s="54" t="s">
        <v>164</v>
      </c>
    </row>
    <row r="39" spans="2:2" ht="15.75" x14ac:dyDescent="0.2">
      <c r="B39" s="54"/>
    </row>
    <row r="40" spans="2:2" ht="15.75" x14ac:dyDescent="0.2">
      <c r="B40" s="57" t="s">
        <v>165</v>
      </c>
    </row>
    <row r="41" spans="2:2" ht="63" x14ac:dyDescent="0.2">
      <c r="B41" s="54" t="s">
        <v>166</v>
      </c>
    </row>
    <row r="42" spans="2:2" ht="15.75" x14ac:dyDescent="0.2">
      <c r="B42" s="54"/>
    </row>
    <row r="43" spans="2:2" ht="15.75" x14ac:dyDescent="0.2">
      <c r="B43" s="57" t="s">
        <v>167</v>
      </c>
    </row>
    <row r="44" spans="2:2" ht="47.25" x14ac:dyDescent="0.2">
      <c r="B44" s="54" t="s">
        <v>168</v>
      </c>
    </row>
    <row r="45" spans="2:2" ht="15.75" x14ac:dyDescent="0.2">
      <c r="B45" s="54"/>
    </row>
    <row r="46" spans="2:2" ht="15.75" x14ac:dyDescent="0.2">
      <c r="B46" s="57" t="s">
        <v>169</v>
      </c>
    </row>
    <row r="47" spans="2:2" ht="63" x14ac:dyDescent="0.2">
      <c r="B47" s="54" t="s">
        <v>170</v>
      </c>
    </row>
    <row r="48" spans="2:2" ht="15.75" x14ac:dyDescent="0.2">
      <c r="B48" s="54"/>
    </row>
    <row r="49" spans="2:7" ht="15.75" x14ac:dyDescent="0.2">
      <c r="B49" s="57" t="s">
        <v>171</v>
      </c>
    </row>
    <row r="50" spans="2:7" ht="47.25" x14ac:dyDescent="0.2">
      <c r="B50" s="54" t="s">
        <v>172</v>
      </c>
    </row>
    <row r="51" spans="2:7" ht="15.75" x14ac:dyDescent="0.2">
      <c r="B51" s="54"/>
    </row>
    <row r="52" spans="2:7" ht="15.75" x14ac:dyDescent="0.2">
      <c r="B52" s="57" t="s">
        <v>173</v>
      </c>
    </row>
    <row r="53" spans="2:7" ht="31.5" x14ac:dyDescent="0.2">
      <c r="B53" s="54" t="s">
        <v>174</v>
      </c>
    </row>
    <row r="54" spans="2:7" ht="94.5" x14ac:dyDescent="0.2">
      <c r="B54" s="54" t="s">
        <v>298</v>
      </c>
    </row>
    <row r="55" spans="2:7" ht="15.75" x14ac:dyDescent="0.2">
      <c r="B55" s="54"/>
    </row>
    <row r="56" spans="2:7" ht="15.75" x14ac:dyDescent="0.2">
      <c r="B56" s="57" t="s">
        <v>175</v>
      </c>
    </row>
    <row r="57" spans="2:7" ht="47.25" x14ac:dyDescent="0.2">
      <c r="B57" s="54" t="s">
        <v>176</v>
      </c>
    </row>
    <row r="58" spans="2:7" ht="47.25" x14ac:dyDescent="0.2">
      <c r="B58" s="54" t="s">
        <v>379</v>
      </c>
    </row>
    <row r="59" spans="2:7" ht="15.75" x14ac:dyDescent="0.2">
      <c r="B59" s="54" t="s">
        <v>177</v>
      </c>
    </row>
    <row r="60" spans="2:7" ht="15.75" x14ac:dyDescent="0.2">
      <c r="B60" s="46"/>
    </row>
    <row r="61" spans="2:7" ht="16.5" thickBot="1" x14ac:dyDescent="0.25">
      <c r="B61" s="47" t="s">
        <v>178</v>
      </c>
    </row>
    <row r="62" spans="2:7" ht="32.25" thickBot="1" x14ac:dyDescent="0.25">
      <c r="B62" s="48" t="s">
        <v>179</v>
      </c>
      <c r="C62" s="49" t="s">
        <v>1</v>
      </c>
      <c r="D62" s="50" t="s">
        <v>2</v>
      </c>
      <c r="E62" s="49" t="s">
        <v>3</v>
      </c>
      <c r="F62" s="50" t="s">
        <v>4</v>
      </c>
      <c r="G62" s="49" t="s">
        <v>5</v>
      </c>
    </row>
    <row r="63" spans="2:7" ht="16.5" thickBot="1" x14ac:dyDescent="0.25">
      <c r="B63" s="51" t="s">
        <v>180</v>
      </c>
      <c r="C63" s="52" t="s">
        <v>181</v>
      </c>
      <c r="D63" s="53" t="s">
        <v>183</v>
      </c>
      <c r="E63" s="52" t="s">
        <v>183</v>
      </c>
      <c r="F63" s="53" t="s">
        <v>183</v>
      </c>
      <c r="G63" s="52" t="s">
        <v>181</v>
      </c>
    </row>
    <row r="64" spans="2:7" ht="16.5" thickBot="1" x14ac:dyDescent="0.25">
      <c r="B64" s="51" t="s">
        <v>184</v>
      </c>
      <c r="C64" s="52" t="s">
        <v>181</v>
      </c>
      <c r="D64" s="53" t="s">
        <v>183</v>
      </c>
      <c r="E64" s="52" t="s">
        <v>183</v>
      </c>
      <c r="F64" s="53" t="s">
        <v>183</v>
      </c>
      <c r="G64" s="52" t="s">
        <v>181</v>
      </c>
    </row>
    <row r="65" spans="2:7" ht="16.5" thickBot="1" x14ac:dyDescent="0.25">
      <c r="B65" s="51" t="s">
        <v>185</v>
      </c>
      <c r="C65" s="52" t="s">
        <v>181</v>
      </c>
      <c r="D65" s="53" t="s">
        <v>183</v>
      </c>
      <c r="E65" s="52" t="s">
        <v>183</v>
      </c>
      <c r="F65" s="53" t="s">
        <v>183</v>
      </c>
      <c r="G65" s="52" t="s">
        <v>181</v>
      </c>
    </row>
    <row r="66" spans="2:7" ht="16.5" thickBot="1" x14ac:dyDescent="0.25">
      <c r="B66" s="51" t="s">
        <v>186</v>
      </c>
      <c r="C66" s="52" t="s">
        <v>181</v>
      </c>
      <c r="D66" s="53" t="s">
        <v>181</v>
      </c>
      <c r="E66" s="52" t="s">
        <v>183</v>
      </c>
      <c r="F66" s="53" t="s">
        <v>183</v>
      </c>
      <c r="G66" s="52" t="s">
        <v>181</v>
      </c>
    </row>
    <row r="67" spans="2:7" ht="16.5" thickBot="1" x14ac:dyDescent="0.25">
      <c r="B67" s="51" t="s">
        <v>187</v>
      </c>
      <c r="C67" s="52" t="s">
        <v>181</v>
      </c>
      <c r="D67" s="53" t="s">
        <v>183</v>
      </c>
      <c r="E67" s="52" t="s">
        <v>183</v>
      </c>
      <c r="F67" s="53" t="s">
        <v>183</v>
      </c>
      <c r="G67" s="52" t="s">
        <v>183</v>
      </c>
    </row>
    <row r="68" spans="2:7" ht="16.5" thickBot="1" x14ac:dyDescent="0.25">
      <c r="B68" s="51" t="s">
        <v>188</v>
      </c>
      <c r="C68" s="52" t="s">
        <v>181</v>
      </c>
      <c r="D68" s="53" t="s">
        <v>183</v>
      </c>
      <c r="E68" s="52" t="s">
        <v>183</v>
      </c>
      <c r="F68" s="53" t="s">
        <v>183</v>
      </c>
      <c r="G68" s="52" t="s">
        <v>181</v>
      </c>
    </row>
    <row r="69" spans="2:7" ht="16.5" thickBot="1" x14ac:dyDescent="0.25">
      <c r="B69" s="51" t="s">
        <v>189</v>
      </c>
      <c r="C69" s="52" t="s">
        <v>183</v>
      </c>
      <c r="D69" s="53" t="s">
        <v>182</v>
      </c>
      <c r="E69" s="52" t="s">
        <v>182</v>
      </c>
      <c r="F69" s="53" t="s">
        <v>181</v>
      </c>
      <c r="G69" s="52" t="s">
        <v>182</v>
      </c>
    </row>
    <row r="70" spans="2:7" ht="15.75" x14ac:dyDescent="0.2">
      <c r="B70" s="55" t="s">
        <v>190</v>
      </c>
      <c r="C70" s="166" t="s">
        <v>182</v>
      </c>
      <c r="D70" s="168" t="s">
        <v>182</v>
      </c>
      <c r="E70" s="166" t="s">
        <v>182</v>
      </c>
      <c r="F70" s="168" t="s">
        <v>182</v>
      </c>
      <c r="G70" s="166" t="s">
        <v>182</v>
      </c>
    </row>
    <row r="71" spans="2:7" ht="16.5" thickBot="1" x14ac:dyDescent="0.25">
      <c r="B71" s="51" t="s">
        <v>191</v>
      </c>
      <c r="C71" s="167"/>
      <c r="D71" s="169"/>
      <c r="E71" s="167"/>
      <c r="F71" s="169"/>
      <c r="G71" s="167"/>
    </row>
    <row r="72" spans="2:7" ht="16.5" thickBot="1" x14ac:dyDescent="0.25">
      <c r="B72" s="51" t="s">
        <v>192</v>
      </c>
      <c r="C72" s="52" t="s">
        <v>182</v>
      </c>
      <c r="D72" s="53" t="s">
        <v>182</v>
      </c>
      <c r="E72" s="52" t="s">
        <v>182</v>
      </c>
      <c r="F72" s="53" t="s">
        <v>182</v>
      </c>
      <c r="G72" s="52" t="s">
        <v>181</v>
      </c>
    </row>
    <row r="73" spans="2:7" ht="15.75" x14ac:dyDescent="0.2">
      <c r="B73" s="54"/>
      <c r="C73" s="59"/>
      <c r="D73" s="59"/>
      <c r="E73" s="59"/>
      <c r="F73" s="59"/>
      <c r="G73" s="59"/>
    </row>
    <row r="74" spans="2:7" ht="15.75" x14ac:dyDescent="0.2">
      <c r="B74" s="57" t="s">
        <v>193</v>
      </c>
    </row>
    <row r="75" spans="2:7" ht="15.75" x14ac:dyDescent="0.2">
      <c r="B75" s="54" t="s">
        <v>194</v>
      </c>
    </row>
    <row r="76" spans="2:7" ht="15.75" x14ac:dyDescent="0.2">
      <c r="B76" s="54"/>
    </row>
    <row r="77" spans="2:7" ht="15.75" x14ac:dyDescent="0.2">
      <c r="B77" s="57" t="s">
        <v>195</v>
      </c>
    </row>
    <row r="78" spans="2:7" ht="31.5" x14ac:dyDescent="0.2">
      <c r="B78" s="54" t="s">
        <v>196</v>
      </c>
    </row>
    <row r="79" spans="2:7" ht="15.75" x14ac:dyDescent="0.2">
      <c r="B79" s="54"/>
    </row>
    <row r="80" spans="2:7" ht="15.75" x14ac:dyDescent="0.2">
      <c r="B80" s="57" t="s">
        <v>197</v>
      </c>
    </row>
    <row r="81" spans="2:2" ht="31.5" x14ac:dyDescent="0.2">
      <c r="B81" s="54" t="s">
        <v>198</v>
      </c>
    </row>
    <row r="82" spans="2:2" ht="15.75" x14ac:dyDescent="0.2">
      <c r="B82" s="54"/>
    </row>
    <row r="83" spans="2:2" ht="15.75" x14ac:dyDescent="0.2">
      <c r="B83" s="57" t="s">
        <v>199</v>
      </c>
    </row>
    <row r="84" spans="2:2" ht="31.5" x14ac:dyDescent="0.2">
      <c r="B84" s="54" t="s">
        <v>200</v>
      </c>
    </row>
    <row r="85" spans="2:2" ht="94.5" x14ac:dyDescent="0.2">
      <c r="B85" s="103" t="s">
        <v>381</v>
      </c>
    </row>
    <row r="86" spans="2:2" ht="15.75" x14ac:dyDescent="0.2">
      <c r="B86" s="54"/>
    </row>
    <row r="87" spans="2:2" ht="15.75" x14ac:dyDescent="0.2">
      <c r="B87" s="57" t="s">
        <v>201</v>
      </c>
    </row>
    <row r="88" spans="2:2" ht="63" x14ac:dyDescent="0.2">
      <c r="B88" s="54" t="s">
        <v>202</v>
      </c>
    </row>
    <row r="89" spans="2:2" ht="15.75" x14ac:dyDescent="0.2">
      <c r="B89" s="54"/>
    </row>
    <row r="90" spans="2:2" ht="15.75" x14ac:dyDescent="0.2">
      <c r="B90" s="57" t="s">
        <v>203</v>
      </c>
    </row>
    <row r="91" spans="2:2" ht="63" x14ac:dyDescent="0.2">
      <c r="B91" s="54" t="s">
        <v>359</v>
      </c>
    </row>
    <row r="92" spans="2:2" ht="15.75" x14ac:dyDescent="0.2">
      <c r="B92" s="54"/>
    </row>
    <row r="93" spans="2:2" ht="15.75" x14ac:dyDescent="0.2">
      <c r="B93" s="57" t="s">
        <v>78</v>
      </c>
    </row>
    <row r="94" spans="2:2" ht="15.75" x14ac:dyDescent="0.2">
      <c r="B94" s="54" t="s">
        <v>204</v>
      </c>
    </row>
    <row r="95" spans="2:2" ht="15.75" x14ac:dyDescent="0.2">
      <c r="B95" s="54"/>
    </row>
    <row r="96" spans="2:2" ht="15.75" x14ac:dyDescent="0.2">
      <c r="B96" s="57" t="s">
        <v>205</v>
      </c>
    </row>
    <row r="97" spans="2:2" ht="31.5" x14ac:dyDescent="0.2">
      <c r="B97" s="54" t="s">
        <v>206</v>
      </c>
    </row>
    <row r="98" spans="2:2" ht="15.75" x14ac:dyDescent="0.2">
      <c r="B98" s="54"/>
    </row>
    <row r="99" spans="2:2" ht="15.75" x14ac:dyDescent="0.2">
      <c r="B99" s="57" t="s">
        <v>207</v>
      </c>
    </row>
    <row r="100" spans="2:2" ht="31.5" x14ac:dyDescent="0.2">
      <c r="B100" s="54" t="s">
        <v>208</v>
      </c>
    </row>
    <row r="101" spans="2:2" ht="15.75" x14ac:dyDescent="0.2">
      <c r="B101" s="54"/>
    </row>
    <row r="102" spans="2:2" ht="15.75" x14ac:dyDescent="0.2">
      <c r="B102" s="57" t="s">
        <v>209</v>
      </c>
    </row>
    <row r="103" spans="2:2" ht="15.75" x14ac:dyDescent="0.2">
      <c r="B103" s="54" t="s">
        <v>210</v>
      </c>
    </row>
    <row r="104" spans="2:2" ht="15.75" x14ac:dyDescent="0.2">
      <c r="B104" s="54"/>
    </row>
    <row r="105" spans="2:2" ht="15.75" x14ac:dyDescent="0.2">
      <c r="B105" s="57" t="s">
        <v>211</v>
      </c>
    </row>
    <row r="106" spans="2:2" ht="94.5" x14ac:dyDescent="0.2">
      <c r="B106" s="54" t="s">
        <v>294</v>
      </c>
    </row>
    <row r="107" spans="2:2" ht="15.75" x14ac:dyDescent="0.2">
      <c r="B107" s="54"/>
    </row>
    <row r="108" spans="2:2" ht="15.75" x14ac:dyDescent="0.2">
      <c r="B108" s="57" t="s">
        <v>383</v>
      </c>
    </row>
    <row r="109" spans="2:2" ht="31.5" x14ac:dyDescent="0.2">
      <c r="B109" s="103" t="s">
        <v>384</v>
      </c>
    </row>
    <row r="110" spans="2:2" ht="63" x14ac:dyDescent="0.2">
      <c r="B110" s="54" t="s">
        <v>212</v>
      </c>
    </row>
    <row r="111" spans="2:2" ht="15.75" x14ac:dyDescent="0.2">
      <c r="B111" s="54"/>
    </row>
    <row r="112" spans="2:2" ht="15.75" x14ac:dyDescent="0.2">
      <c r="B112" s="57" t="s">
        <v>213</v>
      </c>
    </row>
    <row r="113" spans="1:3" ht="47.25" x14ac:dyDescent="0.2">
      <c r="B113" s="54" t="s">
        <v>214</v>
      </c>
    </row>
    <row r="114" spans="1:3" ht="15.75" x14ac:dyDescent="0.2">
      <c r="B114" s="54"/>
    </row>
    <row r="115" spans="1:3" ht="15.75" x14ac:dyDescent="0.2">
      <c r="B115" s="57" t="s">
        <v>215</v>
      </c>
    </row>
    <row r="116" spans="1:3" ht="47.25" x14ac:dyDescent="0.2">
      <c r="B116" s="54" t="s">
        <v>216</v>
      </c>
    </row>
    <row r="117" spans="1:3" ht="63" x14ac:dyDescent="0.2">
      <c r="B117" s="54" t="s">
        <v>217</v>
      </c>
    </row>
    <row r="118" spans="1:3" ht="94.5" x14ac:dyDescent="0.2">
      <c r="B118" s="54" t="s">
        <v>218</v>
      </c>
    </row>
    <row r="119" spans="1:3" ht="15.75" x14ac:dyDescent="0.2">
      <c r="B119" s="54"/>
    </row>
    <row r="120" spans="1:3" ht="15.75" x14ac:dyDescent="0.2">
      <c r="B120" s="57" t="s">
        <v>62</v>
      </c>
    </row>
    <row r="121" spans="1:3" ht="15.75" x14ac:dyDescent="0.2">
      <c r="B121" s="54" t="s">
        <v>219</v>
      </c>
    </row>
    <row r="122" spans="1:3" ht="15.75" x14ac:dyDescent="0.2">
      <c r="B122" s="54"/>
    </row>
    <row r="123" spans="1:3" ht="15.75" x14ac:dyDescent="0.2">
      <c r="B123" s="45" t="s">
        <v>220</v>
      </c>
    </row>
    <row r="124" spans="1:3" ht="15.75" x14ac:dyDescent="0.2">
      <c r="A124" s="60" t="s">
        <v>221</v>
      </c>
      <c r="B124" s="46" t="s">
        <v>222</v>
      </c>
    </row>
    <row r="125" spans="1:3" ht="15.75" x14ac:dyDescent="0.2">
      <c r="A125" s="60">
        <v>0</v>
      </c>
      <c r="B125" s="46" t="s">
        <v>223</v>
      </c>
    </row>
    <row r="126" spans="1:3" ht="15.75" x14ac:dyDescent="0.2">
      <c r="A126" s="60" t="s">
        <v>224</v>
      </c>
      <c r="B126" s="46" t="s">
        <v>225</v>
      </c>
    </row>
    <row r="127" spans="1:3" ht="15.75" x14ac:dyDescent="0.2">
      <c r="A127" s="60" t="s">
        <v>226</v>
      </c>
      <c r="B127" s="46" t="s">
        <v>227</v>
      </c>
    </row>
    <row r="128" spans="1:3" ht="15.75" x14ac:dyDescent="0.2">
      <c r="B128" s="56" t="s">
        <v>228</v>
      </c>
      <c r="C128" s="46"/>
    </row>
  </sheetData>
  <mergeCells count="5">
    <mergeCell ref="C70:C71"/>
    <mergeCell ref="D70:D71"/>
    <mergeCell ref="E70:E71"/>
    <mergeCell ref="F70:F71"/>
    <mergeCell ref="G70:G71"/>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43"/>
  <sheetViews>
    <sheetView workbookViewId="0">
      <pane ySplit="2" topLeftCell="A3" activePane="bottomLeft" state="frozen"/>
      <selection activeCell="K42" sqref="K42"/>
      <selection pane="bottomLeft" activeCell="B2" sqref="B2"/>
    </sheetView>
  </sheetViews>
  <sheetFormatPr defaultColWidth="9" defaultRowHeight="15" x14ac:dyDescent="0.25"/>
  <cols>
    <col min="1" max="1" width="1.625" style="1" customWidth="1"/>
    <col min="2" max="2" width="44" style="1" customWidth="1"/>
    <col min="3" max="10" width="10" style="1" customWidth="1"/>
    <col min="11" max="16384" width="9" style="1"/>
  </cols>
  <sheetData>
    <row r="1" spans="2:13" x14ac:dyDescent="0.25">
      <c r="C1" s="106" t="s">
        <v>318</v>
      </c>
    </row>
    <row r="2" spans="2:13" ht="18.75" x14ac:dyDescent="0.3">
      <c r="B2" s="4" t="s">
        <v>132</v>
      </c>
    </row>
    <row r="3" spans="2:13" ht="18.75" x14ac:dyDescent="0.3">
      <c r="B3" s="4"/>
    </row>
    <row r="4" spans="2:13" ht="18.75" x14ac:dyDescent="0.3">
      <c r="B4" s="15" t="s">
        <v>1</v>
      </c>
      <c r="C4" s="16">
        <v>2014</v>
      </c>
      <c r="D4" s="16">
        <v>2015</v>
      </c>
      <c r="E4" s="16">
        <v>2016</v>
      </c>
      <c r="F4" s="16">
        <v>2017</v>
      </c>
      <c r="G4" s="16">
        <v>2018</v>
      </c>
      <c r="H4" s="16">
        <v>2019</v>
      </c>
      <c r="I4" s="16">
        <v>2020</v>
      </c>
      <c r="J4" s="16">
        <v>2021</v>
      </c>
      <c r="K4" s="16">
        <v>2022</v>
      </c>
      <c r="L4" s="16">
        <v>2023</v>
      </c>
      <c r="M4" s="16">
        <v>2024</v>
      </c>
    </row>
    <row r="5" spans="2:13" x14ac:dyDescent="0.25">
      <c r="B5" s="38" t="s">
        <v>133</v>
      </c>
      <c r="C5" s="10">
        <v>4658565</v>
      </c>
      <c r="D5" s="10">
        <v>4697068</v>
      </c>
      <c r="E5" s="10">
        <v>4746977</v>
      </c>
      <c r="F5" s="10">
        <v>4787201</v>
      </c>
      <c r="G5" s="10">
        <v>4820620</v>
      </c>
      <c r="H5" s="10">
        <v>4848611</v>
      </c>
      <c r="I5" s="10">
        <v>4869645</v>
      </c>
      <c r="J5" s="10">
        <v>4891261</v>
      </c>
      <c r="K5" s="109">
        <v>4927589</v>
      </c>
      <c r="L5" s="10">
        <v>4985196</v>
      </c>
      <c r="M5" s="10">
        <v>5022981</v>
      </c>
    </row>
    <row r="6" spans="2:13" x14ac:dyDescent="0.25">
      <c r="B6" s="39" t="s">
        <v>134</v>
      </c>
      <c r="C6" s="40">
        <v>5627235</v>
      </c>
      <c r="D6" s="40">
        <v>5659715</v>
      </c>
      <c r="E6" s="40">
        <v>5707251</v>
      </c>
      <c r="F6" s="40">
        <v>5748769</v>
      </c>
      <c r="G6" s="40">
        <v>5781190</v>
      </c>
      <c r="H6" s="10">
        <v>5806081</v>
      </c>
      <c r="I6" s="40">
        <v>5822763</v>
      </c>
      <c r="J6" s="40">
        <v>5840045</v>
      </c>
      <c r="K6" s="114">
        <v>5873420</v>
      </c>
      <c r="L6" s="40">
        <v>5932654</v>
      </c>
      <c r="M6" s="40">
        <v>5961249</v>
      </c>
    </row>
    <row r="7" spans="2:13" x14ac:dyDescent="0.25">
      <c r="B7" s="38" t="s">
        <v>131</v>
      </c>
      <c r="C7" s="20">
        <v>430216</v>
      </c>
      <c r="D7" s="10">
        <v>429114</v>
      </c>
      <c r="E7" s="10">
        <v>427953</v>
      </c>
      <c r="F7" s="10">
        <v>423922</v>
      </c>
      <c r="G7" s="10">
        <v>420565</v>
      </c>
      <c r="H7" s="10">
        <v>417235</v>
      </c>
      <c r="I7" s="40">
        <v>415413</v>
      </c>
      <c r="J7" s="40">
        <v>414132</v>
      </c>
      <c r="K7" s="114">
        <v>414990</v>
      </c>
      <c r="L7" s="40">
        <v>418800</v>
      </c>
      <c r="M7" s="40">
        <v>422559</v>
      </c>
    </row>
    <row r="8" spans="2:13" x14ac:dyDescent="0.25">
      <c r="B8" s="28"/>
    </row>
    <row r="10" spans="2:13" ht="18.75" x14ac:dyDescent="0.3">
      <c r="B10" s="15" t="s">
        <v>2</v>
      </c>
      <c r="C10" s="16">
        <v>2014</v>
      </c>
      <c r="D10" s="16">
        <v>2015</v>
      </c>
      <c r="E10" s="16">
        <v>2016</v>
      </c>
      <c r="F10" s="16">
        <v>2017</v>
      </c>
      <c r="G10" s="16">
        <v>2018</v>
      </c>
      <c r="H10" s="16">
        <v>2019</v>
      </c>
      <c r="I10" s="16">
        <v>2020</v>
      </c>
      <c r="J10" s="16">
        <v>2021</v>
      </c>
      <c r="K10" s="16">
        <v>2022</v>
      </c>
      <c r="L10" s="16">
        <v>2023</v>
      </c>
      <c r="M10" s="16">
        <v>2024</v>
      </c>
    </row>
    <row r="11" spans="2:13" x14ac:dyDescent="0.25">
      <c r="B11" s="38" t="s">
        <v>133</v>
      </c>
      <c r="C11" s="41">
        <v>4556249</v>
      </c>
      <c r="D11" s="20">
        <v>4575145</v>
      </c>
      <c r="E11" s="20">
        <v>4591285</v>
      </c>
      <c r="F11" s="10">
        <v>4609119</v>
      </c>
      <c r="G11" s="10">
        <v>4622706</v>
      </c>
      <c r="H11" s="10">
        <v>4635685</v>
      </c>
      <c r="I11" s="10">
        <v>4654256</v>
      </c>
      <c r="J11" s="10">
        <v>4672932</v>
      </c>
      <c r="K11" s="10">
        <v>4696447</v>
      </c>
      <c r="L11" s="10">
        <v>4723642</v>
      </c>
      <c r="M11" s="10">
        <v>4771619</v>
      </c>
    </row>
    <row r="12" spans="2:13" x14ac:dyDescent="0.25">
      <c r="B12" s="39" t="s">
        <v>134</v>
      </c>
      <c r="C12" s="10">
        <v>5451270</v>
      </c>
      <c r="D12" s="20">
        <v>5471753</v>
      </c>
      <c r="E12" s="20">
        <v>5487308</v>
      </c>
      <c r="F12" s="20">
        <v>5503297</v>
      </c>
      <c r="G12" s="20">
        <v>5513130</v>
      </c>
      <c r="H12" s="20">
        <v>5517919</v>
      </c>
      <c r="I12" s="20">
        <v>5525292</v>
      </c>
      <c r="J12" s="20">
        <v>5533793</v>
      </c>
      <c r="K12" s="10">
        <v>5548241</v>
      </c>
      <c r="L12" s="20">
        <v>5563970</v>
      </c>
      <c r="M12" s="40">
        <v>5603851</v>
      </c>
    </row>
    <row r="13" spans="2:13" x14ac:dyDescent="0.25">
      <c r="B13" s="38" t="s">
        <v>131</v>
      </c>
      <c r="C13" s="41">
        <v>380304</v>
      </c>
      <c r="D13" s="20">
        <v>373682</v>
      </c>
      <c r="E13" s="20">
        <v>366368</v>
      </c>
      <c r="F13" s="10">
        <v>361739</v>
      </c>
      <c r="G13" s="10">
        <v>357718</v>
      </c>
      <c r="H13" s="10">
        <v>355807</v>
      </c>
      <c r="I13" s="10">
        <v>357467</v>
      </c>
      <c r="J13" s="10">
        <v>358102</v>
      </c>
      <c r="K13" s="10">
        <v>362041</v>
      </c>
      <c r="L13" s="10">
        <v>367319</v>
      </c>
      <c r="M13" s="40">
        <v>376079</v>
      </c>
    </row>
    <row r="14" spans="2:13" x14ac:dyDescent="0.25">
      <c r="B14" s="28"/>
    </row>
    <row r="16" spans="2:13" ht="21" x14ac:dyDescent="0.3">
      <c r="B16" s="15" t="s">
        <v>405</v>
      </c>
      <c r="C16" s="16">
        <v>2014</v>
      </c>
      <c r="D16" s="16">
        <v>2015</v>
      </c>
      <c r="E16" s="16">
        <v>2016</v>
      </c>
      <c r="F16" s="16">
        <v>2017</v>
      </c>
      <c r="G16" s="16">
        <v>2018</v>
      </c>
      <c r="H16" s="16">
        <v>2019</v>
      </c>
      <c r="I16" s="16">
        <v>2020</v>
      </c>
      <c r="J16" s="16">
        <v>2021</v>
      </c>
      <c r="K16" s="16">
        <v>2022</v>
      </c>
      <c r="L16" s="16">
        <v>2023</v>
      </c>
      <c r="M16" s="16">
        <v>2024</v>
      </c>
    </row>
    <row r="17" spans="2:16" x14ac:dyDescent="0.25">
      <c r="B17" s="38" t="s">
        <v>133</v>
      </c>
      <c r="C17" s="41">
        <v>253351</v>
      </c>
      <c r="D17" s="20">
        <v>256439</v>
      </c>
      <c r="E17" s="20">
        <v>259929</v>
      </c>
      <c r="F17" s="10">
        <v>266094</v>
      </c>
      <c r="G17" s="10">
        <v>275145</v>
      </c>
      <c r="H17" s="10">
        <v>282017</v>
      </c>
      <c r="I17" s="10">
        <v>286288</v>
      </c>
      <c r="J17" s="10">
        <v>289737</v>
      </c>
      <c r="K17" s="10">
        <v>295610</v>
      </c>
      <c r="L17" s="10">
        <v>305223</v>
      </c>
      <c r="M17" s="10">
        <v>313681</v>
      </c>
    </row>
    <row r="18" spans="2:16" x14ac:dyDescent="0.25">
      <c r="B18" s="39" t="s">
        <v>134</v>
      </c>
      <c r="C18" s="10">
        <v>319718</v>
      </c>
      <c r="D18" s="20">
        <v>323024</v>
      </c>
      <c r="E18" s="20">
        <v>326036</v>
      </c>
      <c r="F18" s="20">
        <v>332507</v>
      </c>
      <c r="G18" s="20">
        <v>342183</v>
      </c>
      <c r="H18" s="20">
        <v>349468</v>
      </c>
      <c r="I18" s="20">
        <v>354042</v>
      </c>
      <c r="J18" s="20">
        <v>358298</v>
      </c>
      <c r="K18" s="10">
        <v>364917</v>
      </c>
      <c r="L18" s="20">
        <v>375218</v>
      </c>
      <c r="M18" s="40">
        <v>383726</v>
      </c>
    </row>
    <row r="19" spans="2:16" x14ac:dyDescent="0.25">
      <c r="B19" s="38" t="s">
        <v>131</v>
      </c>
      <c r="C19" s="41">
        <v>27227</v>
      </c>
      <c r="D19" s="20">
        <v>26771</v>
      </c>
      <c r="E19" s="20">
        <v>26573</v>
      </c>
      <c r="F19" s="10">
        <v>26554</v>
      </c>
      <c r="G19" s="10">
        <v>26447</v>
      </c>
      <c r="H19" s="10">
        <v>26458</v>
      </c>
      <c r="I19" s="10">
        <v>26626</v>
      </c>
      <c r="J19" s="10">
        <v>26814</v>
      </c>
      <c r="K19" s="10">
        <v>27283</v>
      </c>
      <c r="L19" s="10">
        <v>28305</v>
      </c>
      <c r="M19" s="40">
        <v>29280</v>
      </c>
    </row>
    <row r="20" spans="2:16" x14ac:dyDescent="0.25">
      <c r="B20" s="65" t="s">
        <v>406</v>
      </c>
    </row>
    <row r="22" spans="2:16" ht="18.75" x14ac:dyDescent="0.3">
      <c r="B22" s="15" t="s">
        <v>4</v>
      </c>
      <c r="C22" s="16">
        <v>2014</v>
      </c>
      <c r="D22" s="16">
        <v>2015</v>
      </c>
      <c r="E22" s="16">
        <v>2016</v>
      </c>
      <c r="F22" s="16">
        <v>2017</v>
      </c>
      <c r="G22" s="16">
        <v>2018</v>
      </c>
      <c r="H22" s="16">
        <v>2019</v>
      </c>
      <c r="I22" s="16">
        <v>2020</v>
      </c>
      <c r="J22" s="16">
        <v>2021</v>
      </c>
      <c r="K22" s="16">
        <v>2022</v>
      </c>
      <c r="L22" s="16">
        <v>2023</v>
      </c>
      <c r="M22" s="16">
        <v>2024</v>
      </c>
    </row>
    <row r="23" spans="2:16" x14ac:dyDescent="0.25">
      <c r="B23" s="38" t="s">
        <v>133</v>
      </c>
      <c r="C23" s="10">
        <v>4178211</v>
      </c>
      <c r="D23" s="10">
        <v>4233409</v>
      </c>
      <c r="E23" s="10">
        <v>4280030</v>
      </c>
      <c r="F23" s="10">
        <v>4320607</v>
      </c>
      <c r="G23" s="10">
        <v>4356685</v>
      </c>
      <c r="H23" s="10">
        <v>4393254</v>
      </c>
      <c r="I23" s="10">
        <v>4437453</v>
      </c>
      <c r="J23" s="10">
        <v>4469778</v>
      </c>
      <c r="K23" s="10">
        <v>4509283</v>
      </c>
      <c r="L23" s="10">
        <v>4572917</v>
      </c>
      <c r="M23" s="10">
        <v>4639075</v>
      </c>
      <c r="P23" s="160"/>
    </row>
    <row r="24" spans="2:16" x14ac:dyDescent="0.25">
      <c r="B24" s="39" t="s">
        <v>134</v>
      </c>
      <c r="C24" s="10">
        <v>5109056</v>
      </c>
      <c r="D24" s="10">
        <v>5165802</v>
      </c>
      <c r="E24" s="10">
        <v>5213985</v>
      </c>
      <c r="F24" s="10">
        <v>5258317</v>
      </c>
      <c r="G24" s="10">
        <v>5295619</v>
      </c>
      <c r="H24" s="10">
        <v>5328212</v>
      </c>
      <c r="I24" s="10">
        <v>5367580</v>
      </c>
      <c r="J24" s="10">
        <v>5391369</v>
      </c>
      <c r="K24" s="10">
        <v>5425270</v>
      </c>
      <c r="L24" s="10">
        <v>5488984</v>
      </c>
      <c r="M24" s="40">
        <v>5550203</v>
      </c>
      <c r="P24" s="160"/>
    </row>
    <row r="25" spans="2:16" x14ac:dyDescent="0.25">
      <c r="B25" s="38" t="s">
        <v>131</v>
      </c>
      <c r="C25" s="10">
        <v>391841</v>
      </c>
      <c r="D25" s="10">
        <v>392900</v>
      </c>
      <c r="E25" s="10">
        <v>393788</v>
      </c>
      <c r="F25" s="10">
        <v>393058</v>
      </c>
      <c r="G25" s="10">
        <v>388924</v>
      </c>
      <c r="H25" s="10">
        <v>386362</v>
      </c>
      <c r="I25" s="10">
        <v>385435</v>
      </c>
      <c r="J25" s="10">
        <v>382763</v>
      </c>
      <c r="K25" s="10">
        <v>382794</v>
      </c>
      <c r="L25" s="10">
        <v>388825</v>
      </c>
      <c r="M25" s="40">
        <v>398232</v>
      </c>
    </row>
    <row r="26" spans="2:16" x14ac:dyDescent="0.25">
      <c r="B26" s="28"/>
    </row>
    <row r="28" spans="2:16" ht="18.75" x14ac:dyDescent="0.3">
      <c r="B28" s="15" t="s">
        <v>5</v>
      </c>
      <c r="C28" s="16">
        <v>2014</v>
      </c>
      <c r="D28" s="16">
        <v>2015</v>
      </c>
      <c r="E28" s="16">
        <v>2016</v>
      </c>
      <c r="F28" s="16">
        <v>2017</v>
      </c>
      <c r="G28" s="16">
        <v>2018</v>
      </c>
      <c r="H28" s="16">
        <v>2019</v>
      </c>
      <c r="I28" s="16">
        <v>2020</v>
      </c>
      <c r="J28" s="16">
        <v>2021</v>
      </c>
      <c r="K28" s="16">
        <v>2022</v>
      </c>
      <c r="L28" s="16">
        <v>2023</v>
      </c>
      <c r="M28" s="16">
        <v>2024</v>
      </c>
    </row>
    <row r="29" spans="2:16" x14ac:dyDescent="0.25">
      <c r="B29" s="38" t="s">
        <v>133</v>
      </c>
      <c r="C29" s="10">
        <v>8065322</v>
      </c>
      <c r="D29" s="10">
        <v>8133874</v>
      </c>
      <c r="E29" s="10">
        <v>8234159</v>
      </c>
      <c r="F29" s="10">
        <v>8325565</v>
      </c>
      <c r="G29" s="10">
        <v>8410456</v>
      </c>
      <c r="H29" s="10">
        <v>8492768</v>
      </c>
      <c r="I29" s="10">
        <v>8541497</v>
      </c>
      <c r="J29" s="10">
        <v>8613223</v>
      </c>
      <c r="K29" s="10">
        <v>8692463</v>
      </c>
      <c r="L29" s="10">
        <v>8748126</v>
      </c>
      <c r="M29" s="10">
        <v>8809242</v>
      </c>
    </row>
    <row r="30" spans="2:16" x14ac:dyDescent="0.25">
      <c r="B30" s="39" t="s">
        <v>134</v>
      </c>
      <c r="C30" s="10">
        <v>9747355</v>
      </c>
      <c r="D30" s="10">
        <v>9851017</v>
      </c>
      <c r="E30" s="10">
        <v>9995153</v>
      </c>
      <c r="F30" s="10">
        <v>10120242</v>
      </c>
      <c r="G30" s="10">
        <v>10230185</v>
      </c>
      <c r="H30" s="10">
        <v>10327589</v>
      </c>
      <c r="I30" s="10">
        <v>10379295</v>
      </c>
      <c r="J30" s="10">
        <v>10452326</v>
      </c>
      <c r="K30" s="10">
        <v>10521556</v>
      </c>
      <c r="L30" s="10">
        <v>10551707</v>
      </c>
      <c r="M30" s="40">
        <v>10587710</v>
      </c>
    </row>
    <row r="31" spans="2:16" x14ac:dyDescent="0.25">
      <c r="B31" s="38" t="s">
        <v>131</v>
      </c>
      <c r="C31" s="10">
        <v>651756</v>
      </c>
      <c r="D31" s="10">
        <v>640082</v>
      </c>
      <c r="E31" s="10">
        <v>641890</v>
      </c>
      <c r="F31" s="10">
        <v>653771</v>
      </c>
      <c r="G31" s="10">
        <v>670586</v>
      </c>
      <c r="H31" s="10">
        <v>685524</v>
      </c>
      <c r="I31" s="10">
        <v>690146</v>
      </c>
      <c r="J31" s="10">
        <v>702802</v>
      </c>
      <c r="K31" s="10">
        <v>718672</v>
      </c>
      <c r="L31" s="10">
        <v>731463</v>
      </c>
      <c r="M31" s="40">
        <v>743987</v>
      </c>
    </row>
    <row r="32" spans="2:16" x14ac:dyDescent="0.25">
      <c r="B32" s="28"/>
      <c r="C32" s="30"/>
      <c r="D32" s="30"/>
      <c r="E32" s="30"/>
      <c r="F32" s="30"/>
      <c r="G32" s="8"/>
      <c r="H32" s="8"/>
    </row>
    <row r="33" spans="2:8" x14ac:dyDescent="0.25">
      <c r="B33" s="22"/>
      <c r="C33" s="2"/>
      <c r="D33" s="2"/>
      <c r="E33" s="2"/>
      <c r="F33" s="2"/>
      <c r="G33" s="8"/>
      <c r="H33" s="8"/>
    </row>
    <row r="34" spans="2:8" x14ac:dyDescent="0.25">
      <c r="B34" s="28"/>
      <c r="C34" s="2"/>
      <c r="D34" s="2"/>
      <c r="E34" s="2"/>
      <c r="F34" s="2"/>
      <c r="G34" s="19"/>
      <c r="H34" s="19"/>
    </row>
    <row r="35" spans="2:8" x14ac:dyDescent="0.25">
      <c r="B35" s="11"/>
      <c r="C35" s="2"/>
      <c r="D35" s="2"/>
      <c r="E35" s="2"/>
      <c r="F35" s="2"/>
      <c r="G35" s="19"/>
      <c r="H35" s="19"/>
    </row>
    <row r="36" spans="2:8" x14ac:dyDescent="0.25">
      <c r="B36" s="28"/>
      <c r="C36" s="2"/>
      <c r="D36" s="2"/>
      <c r="E36" s="2"/>
      <c r="F36" s="2"/>
      <c r="G36" s="8"/>
      <c r="H36" s="8"/>
    </row>
    <row r="37" spans="2:8" x14ac:dyDescent="0.25">
      <c r="B37" s="28"/>
      <c r="C37" s="2"/>
      <c r="D37" s="2"/>
      <c r="E37" s="23"/>
      <c r="F37" s="23"/>
      <c r="G37" s="8"/>
      <c r="H37" s="8"/>
    </row>
    <row r="38" spans="2:8" x14ac:dyDescent="0.25">
      <c r="B38" s="2"/>
      <c r="C38" s="2"/>
      <c r="D38" s="2"/>
      <c r="E38" s="2"/>
      <c r="F38" s="2"/>
    </row>
    <row r="39" spans="2:8" x14ac:dyDescent="0.25">
      <c r="B39" s="22"/>
      <c r="C39" s="10"/>
      <c r="D39" s="10"/>
      <c r="E39" s="10"/>
      <c r="F39" s="10"/>
    </row>
    <row r="40" spans="2:8" x14ac:dyDescent="0.25">
      <c r="B40" s="6"/>
    </row>
    <row r="41" spans="2:8" x14ac:dyDescent="0.25">
      <c r="B41" s="6"/>
    </row>
    <row r="42" spans="2:8" x14ac:dyDescent="0.25">
      <c r="B42" s="6"/>
    </row>
    <row r="43" spans="2:8" x14ac:dyDescent="0.25">
      <c r="B4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41"/>
  <sheetViews>
    <sheetView zoomScaleNormal="100" workbookViewId="0">
      <selection activeCell="B1" sqref="B1"/>
    </sheetView>
  </sheetViews>
  <sheetFormatPr defaultColWidth="9" defaultRowHeight="15" x14ac:dyDescent="0.25"/>
  <cols>
    <col min="1" max="1" width="1.625" customWidth="1"/>
    <col min="2" max="2" width="44" style="130" customWidth="1"/>
    <col min="3" max="10" width="10" style="130" customWidth="1"/>
    <col min="11" max="16384" width="9" style="130"/>
  </cols>
  <sheetData>
    <row r="2" spans="2:13" s="130" customFormat="1" ht="18.75" x14ac:dyDescent="0.3">
      <c r="B2" s="129" t="s">
        <v>0</v>
      </c>
    </row>
    <row r="3" spans="2:13" s="130" customFormat="1" ht="18.75" x14ac:dyDescent="0.3">
      <c r="B3" s="129"/>
    </row>
    <row r="4" spans="2:13" s="130" customFormat="1" ht="18.75" x14ac:dyDescent="0.3">
      <c r="B4" s="131" t="s">
        <v>375</v>
      </c>
      <c r="C4" s="132">
        <v>2014</v>
      </c>
      <c r="D4" s="132">
        <v>2015</v>
      </c>
      <c r="E4" s="132">
        <v>2016</v>
      </c>
      <c r="F4" s="132">
        <v>2017</v>
      </c>
      <c r="G4" s="132">
        <v>2018</v>
      </c>
      <c r="H4" s="132">
        <v>2019</v>
      </c>
      <c r="I4" s="132">
        <v>2020</v>
      </c>
      <c r="J4" s="132">
        <v>2021</v>
      </c>
      <c r="K4" s="132">
        <v>2022</v>
      </c>
      <c r="L4" s="132">
        <v>2023</v>
      </c>
      <c r="M4" s="132">
        <v>2024</v>
      </c>
    </row>
    <row r="5" spans="2:13" s="130" customFormat="1" x14ac:dyDescent="0.25">
      <c r="B5" s="133" t="s">
        <v>14</v>
      </c>
      <c r="C5" s="83">
        <v>5250</v>
      </c>
      <c r="D5" s="83">
        <v>4828</v>
      </c>
      <c r="E5" s="83">
        <v>4123</v>
      </c>
      <c r="F5" s="83">
        <v>4029</v>
      </c>
      <c r="G5" s="83">
        <v>4746</v>
      </c>
      <c r="H5" s="83">
        <v>4749</v>
      </c>
      <c r="I5" s="83">
        <v>4093</v>
      </c>
      <c r="J5" s="83">
        <v>4119</v>
      </c>
      <c r="K5" s="83">
        <v>4388</v>
      </c>
      <c r="L5" s="83">
        <v>4394</v>
      </c>
      <c r="M5" s="83">
        <v>4120</v>
      </c>
    </row>
    <row r="6" spans="2:13" s="130" customFormat="1" x14ac:dyDescent="0.25">
      <c r="B6" s="133" t="s">
        <v>15</v>
      </c>
      <c r="C6" s="83">
        <f t="shared" ref="C6:L6" si="0">SUM(C8:C18)</f>
        <v>12107</v>
      </c>
      <c r="D6" s="83">
        <f t="shared" si="0"/>
        <v>12582</v>
      </c>
      <c r="E6" s="83">
        <f t="shared" si="0"/>
        <v>11503</v>
      </c>
      <c r="F6" s="83">
        <f t="shared" si="0"/>
        <v>10557</v>
      </c>
      <c r="G6" s="83">
        <f t="shared" si="0"/>
        <v>10111</v>
      </c>
      <c r="H6" s="83">
        <f t="shared" si="0"/>
        <v>9677</v>
      </c>
      <c r="I6" s="83">
        <f t="shared" si="0"/>
        <v>9087</v>
      </c>
      <c r="J6" s="83">
        <f t="shared" si="0"/>
        <v>8765</v>
      </c>
      <c r="K6" s="83">
        <f t="shared" si="0"/>
        <v>9271</v>
      </c>
      <c r="L6" s="83">
        <f t="shared" si="0"/>
        <v>9332</v>
      </c>
      <c r="M6" s="83">
        <v>9648</v>
      </c>
    </row>
    <row r="7" spans="2:13" s="130" customFormat="1" x14ac:dyDescent="0.25">
      <c r="B7" s="133" t="s">
        <v>16</v>
      </c>
      <c r="C7" s="83"/>
      <c r="D7" s="83"/>
      <c r="E7" s="83"/>
      <c r="F7" s="83"/>
      <c r="G7" s="83"/>
      <c r="H7" s="83"/>
      <c r="I7" s="83"/>
      <c r="J7" s="83"/>
      <c r="K7" s="83"/>
      <c r="L7" s="83"/>
      <c r="M7" s="83"/>
    </row>
    <row r="8" spans="2:13" s="130" customFormat="1" x14ac:dyDescent="0.25">
      <c r="B8" s="134" t="s">
        <v>20</v>
      </c>
      <c r="C8" s="83">
        <f>787+410+2449</f>
        <v>3646</v>
      </c>
      <c r="D8" s="83">
        <v>4421</v>
      </c>
      <c r="E8" s="83">
        <v>4640</v>
      </c>
      <c r="F8" s="83">
        <f>633+324+3439</f>
        <v>4396</v>
      </c>
      <c r="G8" s="83">
        <v>3883</v>
      </c>
      <c r="H8" s="83">
        <v>3496</v>
      </c>
      <c r="I8" s="83">
        <v>3543</v>
      </c>
      <c r="J8" s="83">
        <v>3121</v>
      </c>
      <c r="K8" s="83">
        <v>3221</v>
      </c>
      <c r="L8" s="83">
        <v>3502</v>
      </c>
      <c r="M8" s="83">
        <v>3610</v>
      </c>
    </row>
    <row r="9" spans="2:13" s="130" customFormat="1" x14ac:dyDescent="0.25">
      <c r="B9" s="134" t="s">
        <v>21</v>
      </c>
      <c r="C9" s="83"/>
      <c r="D9" s="83"/>
      <c r="E9" s="83"/>
      <c r="F9" s="83"/>
      <c r="G9" s="83"/>
      <c r="H9" s="83"/>
      <c r="I9" s="83"/>
      <c r="J9" s="83"/>
      <c r="K9" s="83"/>
      <c r="L9" s="83"/>
      <c r="M9" s="83"/>
    </row>
    <row r="10" spans="2:13" s="130" customFormat="1" x14ac:dyDescent="0.25">
      <c r="B10" s="134" t="s">
        <v>22</v>
      </c>
      <c r="C10" s="83">
        <v>2086</v>
      </c>
      <c r="D10" s="83">
        <v>1949</v>
      </c>
      <c r="E10" s="83">
        <v>1775</v>
      </c>
      <c r="F10" s="83">
        <v>1583</v>
      </c>
      <c r="G10" s="83">
        <v>1476</v>
      </c>
      <c r="H10" s="83">
        <v>1502</v>
      </c>
      <c r="I10" s="83">
        <v>1484</v>
      </c>
      <c r="J10" s="83">
        <v>1378</v>
      </c>
      <c r="K10" s="83">
        <v>1353</v>
      </c>
      <c r="L10" s="83">
        <v>1205</v>
      </c>
      <c r="M10" s="83">
        <v>1165</v>
      </c>
    </row>
    <row r="11" spans="2:13" s="130" customFormat="1" x14ac:dyDescent="0.25">
      <c r="B11" s="134" t="s">
        <v>23</v>
      </c>
      <c r="C11" s="83">
        <v>2185</v>
      </c>
      <c r="D11" s="83">
        <v>1995</v>
      </c>
      <c r="E11" s="83">
        <v>1604</v>
      </c>
      <c r="F11" s="83">
        <v>1482</v>
      </c>
      <c r="G11" s="83">
        <v>1501</v>
      </c>
      <c r="H11" s="83">
        <v>1454</v>
      </c>
      <c r="I11" s="83">
        <v>1356</v>
      </c>
      <c r="J11" s="83">
        <v>1320</v>
      </c>
      <c r="K11" s="83">
        <v>1190</v>
      </c>
      <c r="L11" s="83">
        <v>1304</v>
      </c>
      <c r="M11" s="83">
        <v>1402</v>
      </c>
    </row>
    <row r="12" spans="2:13" s="130" customFormat="1" x14ac:dyDescent="0.25">
      <c r="B12" s="134" t="s">
        <v>24</v>
      </c>
      <c r="C12" s="83">
        <v>745</v>
      </c>
      <c r="D12" s="83">
        <v>871</v>
      </c>
      <c r="E12" s="83">
        <v>626</v>
      </c>
      <c r="F12" s="83">
        <v>614</v>
      </c>
      <c r="G12" s="83">
        <v>652</v>
      </c>
      <c r="H12" s="83">
        <v>617</v>
      </c>
      <c r="I12" s="83">
        <v>584</v>
      </c>
      <c r="J12" s="83">
        <v>573</v>
      </c>
      <c r="K12" s="83">
        <v>536</v>
      </c>
      <c r="L12" s="83">
        <v>492</v>
      </c>
      <c r="M12" s="83">
        <v>523</v>
      </c>
    </row>
    <row r="13" spans="2:13" s="130" customFormat="1" ht="26.25" x14ac:dyDescent="0.25">
      <c r="B13" s="159" t="s">
        <v>382</v>
      </c>
      <c r="C13" s="83">
        <v>400</v>
      </c>
      <c r="D13" s="83">
        <v>363</v>
      </c>
      <c r="E13" s="83">
        <v>380</v>
      </c>
      <c r="F13" s="83">
        <v>260</v>
      </c>
      <c r="G13" s="83">
        <v>228</v>
      </c>
      <c r="H13" s="83">
        <v>247</v>
      </c>
      <c r="I13" s="83">
        <v>288</v>
      </c>
      <c r="J13" s="83">
        <v>279</v>
      </c>
      <c r="K13" s="83">
        <v>297</v>
      </c>
      <c r="L13" s="83">
        <v>241</v>
      </c>
      <c r="M13" s="83">
        <v>301</v>
      </c>
    </row>
    <row r="14" spans="2:13" s="130" customFormat="1" x14ac:dyDescent="0.25">
      <c r="B14" s="134" t="s">
        <v>25</v>
      </c>
      <c r="C14" s="83"/>
      <c r="D14" s="83"/>
      <c r="E14" s="83"/>
      <c r="F14" s="83"/>
      <c r="G14" s="83"/>
      <c r="H14" s="83"/>
      <c r="I14" s="83"/>
      <c r="J14" s="83"/>
      <c r="K14" s="83"/>
      <c r="L14" s="83"/>
      <c r="M14" s="83"/>
    </row>
    <row r="15" spans="2:13" s="130" customFormat="1" x14ac:dyDescent="0.25">
      <c r="B15" s="134" t="s">
        <v>26</v>
      </c>
      <c r="C15" s="83"/>
      <c r="D15" s="83"/>
      <c r="E15" s="83"/>
      <c r="F15" s="83"/>
      <c r="G15" s="83"/>
      <c r="H15" s="83"/>
      <c r="I15" s="83"/>
      <c r="J15" s="83"/>
      <c r="K15" s="83"/>
      <c r="L15" s="83"/>
      <c r="M15" s="83"/>
    </row>
    <row r="16" spans="2:13" s="130" customFormat="1" x14ac:dyDescent="0.25">
      <c r="B16" s="134" t="s">
        <v>27</v>
      </c>
      <c r="C16" s="83">
        <v>2848</v>
      </c>
      <c r="D16" s="83">
        <v>2783</v>
      </c>
      <c r="E16" s="83">
        <v>2297</v>
      </c>
      <c r="F16" s="83">
        <v>2066</v>
      </c>
      <c r="G16" s="83">
        <v>2197</v>
      </c>
      <c r="H16" s="83">
        <v>2201</v>
      </c>
      <c r="I16" s="83">
        <v>1672</v>
      </c>
      <c r="J16" s="83">
        <v>1911</v>
      </c>
      <c r="K16" s="83">
        <v>2355</v>
      </c>
      <c r="L16" s="83">
        <v>2178</v>
      </c>
      <c r="M16" s="83">
        <v>2314</v>
      </c>
    </row>
    <row r="17" spans="2:13" s="130" customFormat="1" x14ac:dyDescent="0.25">
      <c r="B17" s="134" t="s">
        <v>28</v>
      </c>
      <c r="C17" s="83">
        <v>62</v>
      </c>
      <c r="D17" s="83">
        <v>72</v>
      </c>
      <c r="E17" s="83">
        <v>69</v>
      </c>
      <c r="F17" s="83">
        <v>75</v>
      </c>
      <c r="G17" s="83">
        <v>68</v>
      </c>
      <c r="H17" s="83">
        <v>65</v>
      </c>
      <c r="I17" s="83">
        <v>55</v>
      </c>
      <c r="J17" s="83">
        <v>67</v>
      </c>
      <c r="K17" s="83">
        <v>222</v>
      </c>
      <c r="L17" s="83">
        <v>305</v>
      </c>
      <c r="M17" s="83">
        <v>226</v>
      </c>
    </row>
    <row r="18" spans="2:13" s="130" customFormat="1" x14ac:dyDescent="0.25">
      <c r="B18" s="134" t="s">
        <v>397</v>
      </c>
      <c r="C18" s="83">
        <f>1+13+97+24</f>
        <v>135</v>
      </c>
      <c r="D18" s="83">
        <f>2+13+84+29</f>
        <v>128</v>
      </c>
      <c r="E18" s="83">
        <v>112</v>
      </c>
      <c r="F18" s="83">
        <f>8761-8335-345</f>
        <v>81</v>
      </c>
      <c r="G18" s="83">
        <v>106</v>
      </c>
      <c r="H18" s="83">
        <v>95</v>
      </c>
      <c r="I18" s="83">
        <v>105</v>
      </c>
      <c r="J18" s="83">
        <v>116</v>
      </c>
      <c r="K18" s="83">
        <v>97</v>
      </c>
      <c r="L18" s="83">
        <v>105</v>
      </c>
      <c r="M18" s="83">
        <v>107</v>
      </c>
    </row>
    <row r="19" spans="2:13" s="130" customFormat="1" x14ac:dyDescent="0.25">
      <c r="B19" s="133"/>
      <c r="C19" s="136"/>
      <c r="D19" s="136"/>
      <c r="E19" s="136"/>
      <c r="F19" s="137"/>
      <c r="G19" s="138"/>
      <c r="H19" s="138"/>
      <c r="I19" s="138"/>
      <c r="J19" s="137"/>
      <c r="K19" s="138"/>
      <c r="L19" s="137"/>
      <c r="M19" s="137"/>
    </row>
    <row r="20" spans="2:13" s="130" customFormat="1" x14ac:dyDescent="0.25">
      <c r="B20" s="139" t="s">
        <v>17</v>
      </c>
      <c r="C20" s="136"/>
      <c r="D20" s="136"/>
      <c r="E20" s="136"/>
      <c r="F20" s="136"/>
      <c r="G20" s="138"/>
      <c r="H20" s="138"/>
      <c r="I20" s="138"/>
      <c r="J20" s="137"/>
      <c r="K20" s="138"/>
      <c r="L20" s="137"/>
      <c r="M20" s="137"/>
    </row>
    <row r="21" spans="2:13" s="130" customFormat="1" x14ac:dyDescent="0.25">
      <c r="B21" s="140" t="s">
        <v>29</v>
      </c>
      <c r="C21" s="141">
        <f>(C5/Folkmängd!C5)*100000</f>
        <v>112.69564769408606</v>
      </c>
      <c r="D21" s="141">
        <f>(D5/Folkmängd!D5)*100000</f>
        <v>102.78752617590378</v>
      </c>
      <c r="E21" s="141">
        <f>(E5/Folkmängd!E5)*100000</f>
        <v>86.855276526513606</v>
      </c>
      <c r="F21" s="141">
        <f>(F5/Folkmängd!F5)*100000</f>
        <v>84.161914237568055</v>
      </c>
      <c r="G21" s="141">
        <f>(G5/Folkmängd!G5)*100000</f>
        <v>98.452066331716665</v>
      </c>
      <c r="H21" s="141">
        <f>(H5/Folkmängd!H5)*100000</f>
        <v>97.945576578529412</v>
      </c>
      <c r="I21" s="141">
        <f>(I5/Folkmängd!I5)*100000</f>
        <v>84.051301480908776</v>
      </c>
      <c r="J21" s="141">
        <f>(J5/Folkmängd!J5)*100000</f>
        <v>84.211412966922026</v>
      </c>
      <c r="K21" s="141">
        <f>(K5/Folkmängd!K5)*100000</f>
        <v>89.049634618471629</v>
      </c>
      <c r="L21" s="141">
        <f>(L5/Folkmängd!L5)*100000</f>
        <v>88.140967777395318</v>
      </c>
      <c r="M21" s="141">
        <f>(M5/Folkmängd!M5)*100000</f>
        <v>82.023005860464139</v>
      </c>
    </row>
    <row r="22" spans="2:13" s="130" customFormat="1" x14ac:dyDescent="0.25">
      <c r="B22" s="140" t="s">
        <v>30</v>
      </c>
      <c r="C22" s="141">
        <f>(C5/Folkmängd!C6)*100000</f>
        <v>93.296263617922477</v>
      </c>
      <c r="D22" s="141">
        <f>(D5/Folkmängd!D6)*100000</f>
        <v>85.304648732312486</v>
      </c>
      <c r="E22" s="141">
        <f>(E5/Folkmängd!E6)*100000</f>
        <v>72.241434624129894</v>
      </c>
      <c r="F22" s="141">
        <f>(F5/Folkmängd!F6)*100000</f>
        <v>70.084569409555328</v>
      </c>
      <c r="G22" s="141">
        <f>(G5/Folkmängd!G6)*100000</f>
        <v>82.093824973751083</v>
      </c>
      <c r="H22" s="141">
        <f>(H5/Folkmängd!H6)*100000</f>
        <v>81.793554034123872</v>
      </c>
      <c r="I22" s="141">
        <f>(I5/Folkmängd!I6)*100000</f>
        <v>70.293089380419573</v>
      </c>
      <c r="J22" s="141">
        <f>(J5/Folkmängd!J6)*100000</f>
        <v>70.530278448196881</v>
      </c>
      <c r="K22" s="141">
        <f>(K5/Folkmängd!K6)*100000</f>
        <v>74.709453776505001</v>
      </c>
      <c r="L22" s="141">
        <f>(L5/Folkmängd!L6)*100000</f>
        <v>74.06465976273013</v>
      </c>
      <c r="M22" s="141">
        <f>(M5/Folkmängd!M6)*100000</f>
        <v>69.113033191534186</v>
      </c>
    </row>
    <row r="23" spans="2:13" s="130" customFormat="1" x14ac:dyDescent="0.25">
      <c r="B23" s="139"/>
      <c r="C23" s="142"/>
      <c r="D23" s="142"/>
      <c r="E23" s="142"/>
      <c r="F23" s="142"/>
      <c r="G23" s="142"/>
      <c r="H23" s="142"/>
      <c r="I23" s="142"/>
      <c r="J23" s="143"/>
      <c r="K23" s="142"/>
      <c r="L23" s="143"/>
      <c r="M23" s="143"/>
    </row>
    <row r="24" spans="2:13" s="130" customFormat="1" x14ac:dyDescent="0.25">
      <c r="B24" s="139" t="s">
        <v>18</v>
      </c>
      <c r="C24" s="142"/>
      <c r="D24" s="142"/>
      <c r="E24" s="142"/>
      <c r="F24" s="142"/>
      <c r="G24" s="142"/>
      <c r="H24" s="142"/>
      <c r="I24" s="142"/>
      <c r="J24" s="143"/>
      <c r="K24" s="142"/>
      <c r="L24" s="143"/>
      <c r="M24" s="143"/>
    </row>
    <row r="25" spans="2:13" s="130" customFormat="1" x14ac:dyDescent="0.25">
      <c r="B25" s="140" t="s">
        <v>29</v>
      </c>
      <c r="C25" s="144">
        <f>(C6/Folkmängd!C5)*100000</f>
        <v>259.88689650139048</v>
      </c>
      <c r="D25" s="144">
        <f>(D6/Folkmängd!D5)*100000</f>
        <v>267.8692324658702</v>
      </c>
      <c r="E25" s="144">
        <f>(E6/Folkmängd!E5)*100000</f>
        <v>242.32264028243659</v>
      </c>
      <c r="F25" s="144">
        <f>(F6/Folkmängd!F5)*100000</f>
        <v>220.52552211615932</v>
      </c>
      <c r="G25" s="144">
        <f>(G6/Folkmängd!G5)*100000</f>
        <v>209.74480461019539</v>
      </c>
      <c r="H25" s="144">
        <f>(H6/Folkmängd!H5)*100000</f>
        <v>199.58293210158538</v>
      </c>
      <c r="I25" s="144">
        <f>(I6/Folkmängd!I5)*100000</f>
        <v>186.60497839164867</v>
      </c>
      <c r="J25" s="144">
        <f>(J6/Folkmängd!J5)*100000</f>
        <v>179.19714364046408</v>
      </c>
      <c r="K25" s="144">
        <f>(K6/Folkmängd!K5)*100000</f>
        <v>188.14474989695773</v>
      </c>
      <c r="L25" s="144">
        <f>(L6/Folkmängd!L5)*100000</f>
        <v>187.19424471976629</v>
      </c>
      <c r="M25" s="144">
        <f>(M6/Folkmängd!M5)*100000</f>
        <v>192.0771748887762</v>
      </c>
    </row>
    <row r="26" spans="2:13" s="130" customFormat="1" x14ac:dyDescent="0.25">
      <c r="B26" s="140" t="s">
        <v>30</v>
      </c>
      <c r="C26" s="144">
        <f>(C6/Folkmängd!C6)*100000</f>
        <v>215.15006926136905</v>
      </c>
      <c r="D26" s="144">
        <f>(D6/Folkmängd!D6)*100000</f>
        <v>222.30801374274145</v>
      </c>
      <c r="E26" s="144">
        <f>(E6/Folkmängd!E6)*100000</f>
        <v>201.55062393435998</v>
      </c>
      <c r="F26" s="144">
        <f>(F6/Folkmängd!F6)*100000</f>
        <v>183.63931478199942</v>
      </c>
      <c r="G26" s="144">
        <f>(G6/Folkmängd!G6)*100000</f>
        <v>174.89478809726023</v>
      </c>
      <c r="H26" s="144">
        <f>(H6/Folkmängd!H6)*100000</f>
        <v>166.67008262544047</v>
      </c>
      <c r="I26" s="144">
        <f>(I6/Folkmängd!I6)*100000</f>
        <v>156.05993237231189</v>
      </c>
      <c r="J26" s="144">
        <f>(J6/Folkmängd!J6)*100000</f>
        <v>150.08445996563384</v>
      </c>
      <c r="K26" s="144">
        <f>(K6/Folkmängd!K6)*100000</f>
        <v>157.84670600774336</v>
      </c>
      <c r="L26" s="144">
        <f>(L6/Folkmängd!L6)*100000</f>
        <v>157.29890871775095</v>
      </c>
      <c r="M26" s="144">
        <f>(M6/Folkmängd!M6)*100000</f>
        <v>161.84527772619464</v>
      </c>
    </row>
    <row r="27" spans="2:13" s="130" customFormat="1" x14ac:dyDescent="0.25">
      <c r="B27" s="140"/>
    </row>
    <row r="28" spans="2:13" s="130" customFormat="1" x14ac:dyDescent="0.25">
      <c r="B28" s="145" t="s">
        <v>398</v>
      </c>
    </row>
    <row r="29" spans="2:13" s="130" customFormat="1" x14ac:dyDescent="0.25">
      <c r="B29" s="145"/>
    </row>
    <row r="31" spans="2:13" s="130" customFormat="1" ht="18.75" x14ac:dyDescent="0.3">
      <c r="B31" s="131" t="s">
        <v>31</v>
      </c>
      <c r="C31" s="132">
        <v>2014</v>
      </c>
      <c r="D31" s="132">
        <v>2015</v>
      </c>
      <c r="E31" s="132">
        <v>2016</v>
      </c>
      <c r="F31" s="132">
        <v>2017</v>
      </c>
      <c r="G31" s="132">
        <v>2018</v>
      </c>
      <c r="H31" s="132">
        <v>2019</v>
      </c>
      <c r="I31" s="132">
        <v>2020</v>
      </c>
      <c r="J31" s="132">
        <v>2021</v>
      </c>
      <c r="K31" s="132">
        <v>2022</v>
      </c>
      <c r="L31" s="132">
        <v>2023</v>
      </c>
      <c r="M31" s="132">
        <v>2024</v>
      </c>
    </row>
    <row r="32" spans="2:13" s="130" customFormat="1" x14ac:dyDescent="0.25">
      <c r="B32" s="133" t="s">
        <v>14</v>
      </c>
      <c r="C32" s="83">
        <v>3426</v>
      </c>
      <c r="D32" s="83">
        <v>3397</v>
      </c>
      <c r="E32" s="83">
        <v>3372</v>
      </c>
      <c r="F32" s="83">
        <v>3093</v>
      </c>
      <c r="G32" s="83">
        <v>3173</v>
      </c>
      <c r="H32" s="83">
        <v>3216</v>
      </c>
      <c r="I32" s="83">
        <v>2771</v>
      </c>
      <c r="J32" s="83">
        <v>2687</v>
      </c>
      <c r="K32" s="83">
        <v>2985</v>
      </c>
      <c r="L32" s="83">
        <v>2809</v>
      </c>
      <c r="M32" s="83">
        <v>3050</v>
      </c>
    </row>
    <row r="33" spans="2:14" s="130" customFormat="1" x14ac:dyDescent="0.25">
      <c r="B33" s="133" t="s">
        <v>15</v>
      </c>
      <c r="C33" s="83">
        <f t="shared" ref="C33:L33" si="1">SUM(C35:C45)</f>
        <v>4751</v>
      </c>
      <c r="D33" s="147">
        <f t="shared" si="1"/>
        <v>4814</v>
      </c>
      <c r="E33" s="147">
        <f t="shared" si="1"/>
        <v>4463</v>
      </c>
      <c r="F33" s="147">
        <f t="shared" si="1"/>
        <v>4358</v>
      </c>
      <c r="G33" s="83">
        <f t="shared" si="1"/>
        <v>4461</v>
      </c>
      <c r="H33" s="83">
        <f t="shared" si="1"/>
        <v>4431</v>
      </c>
      <c r="I33" s="83">
        <f t="shared" si="1"/>
        <v>4233</v>
      </c>
      <c r="J33" s="83">
        <f t="shared" si="1"/>
        <v>4521</v>
      </c>
      <c r="K33" s="83">
        <f t="shared" si="1"/>
        <v>4569</v>
      </c>
      <c r="L33" s="83">
        <f t="shared" si="1"/>
        <v>4452</v>
      </c>
      <c r="M33" s="83">
        <f t="shared" ref="M33" si="2">SUM(M35:M45)</f>
        <v>4301</v>
      </c>
      <c r="N33" s="146"/>
    </row>
    <row r="34" spans="2:14" s="130" customFormat="1" x14ac:dyDescent="0.25">
      <c r="B34" s="133" t="s">
        <v>16</v>
      </c>
      <c r="C34" s="148"/>
      <c r="D34" s="148"/>
      <c r="E34" s="148"/>
      <c r="F34" s="148"/>
      <c r="G34" s="83"/>
      <c r="H34" s="83"/>
      <c r="I34" s="83"/>
      <c r="J34" s="83"/>
      <c r="K34" s="83"/>
      <c r="L34" s="83"/>
      <c r="M34" s="83"/>
    </row>
    <row r="35" spans="2:14" s="130" customFormat="1" x14ac:dyDescent="0.25">
      <c r="B35" s="134" t="s">
        <v>20</v>
      </c>
      <c r="C35" s="83">
        <v>2359</v>
      </c>
      <c r="D35" s="147">
        <v>2329</v>
      </c>
      <c r="E35" s="147">
        <v>2037</v>
      </c>
      <c r="F35" s="147">
        <v>1938</v>
      </c>
      <c r="G35" s="83">
        <v>2009</v>
      </c>
      <c r="H35" s="83">
        <v>1930</v>
      </c>
      <c r="I35" s="83">
        <v>1752</v>
      </c>
      <c r="J35" s="83">
        <v>2004</v>
      </c>
      <c r="K35" s="83">
        <v>1888</v>
      </c>
      <c r="L35" s="83">
        <v>1829</v>
      </c>
      <c r="M35" s="83">
        <v>1810</v>
      </c>
    </row>
    <row r="36" spans="2:14" s="130" customFormat="1" x14ac:dyDescent="0.25">
      <c r="B36" s="134" t="s">
        <v>21</v>
      </c>
      <c r="C36" s="148"/>
      <c r="D36" s="148"/>
      <c r="E36" s="148"/>
      <c r="F36" s="148"/>
      <c r="G36" s="83"/>
      <c r="H36" s="83"/>
      <c r="I36" s="83"/>
      <c r="J36" s="83"/>
      <c r="K36" s="83"/>
      <c r="L36" s="83"/>
      <c r="M36" s="83"/>
    </row>
    <row r="37" spans="2:14" s="130" customFormat="1" x14ac:dyDescent="0.25">
      <c r="B37" s="134" t="s">
        <v>22</v>
      </c>
      <c r="C37" s="147">
        <v>752</v>
      </c>
      <c r="D37" s="147">
        <v>733</v>
      </c>
      <c r="E37" s="147">
        <v>762</v>
      </c>
      <c r="F37" s="147">
        <v>750</v>
      </c>
      <c r="G37" s="83">
        <v>785</v>
      </c>
      <c r="H37" s="83">
        <v>817</v>
      </c>
      <c r="I37" s="83">
        <v>774</v>
      </c>
      <c r="J37" s="83">
        <v>711</v>
      </c>
      <c r="K37" s="83">
        <v>940</v>
      </c>
      <c r="L37" s="83">
        <v>864</v>
      </c>
      <c r="M37" s="83">
        <v>805</v>
      </c>
    </row>
    <row r="38" spans="2:14" s="130" customFormat="1" x14ac:dyDescent="0.25">
      <c r="B38" s="134" t="s">
        <v>23</v>
      </c>
      <c r="C38" s="148">
        <v>743</v>
      </c>
      <c r="D38" s="148">
        <v>772</v>
      </c>
      <c r="E38" s="148">
        <v>707</v>
      </c>
      <c r="F38" s="148">
        <v>665</v>
      </c>
      <c r="G38" s="83">
        <v>700</v>
      </c>
      <c r="H38" s="83">
        <v>626</v>
      </c>
      <c r="I38" s="83">
        <v>684</v>
      </c>
      <c r="J38" s="83">
        <v>750</v>
      </c>
      <c r="K38" s="83">
        <v>738</v>
      </c>
      <c r="L38" s="83">
        <v>774</v>
      </c>
      <c r="M38" s="83">
        <v>697</v>
      </c>
    </row>
    <row r="39" spans="2:14" s="130" customFormat="1" x14ac:dyDescent="0.25">
      <c r="B39" s="134" t="s">
        <v>24</v>
      </c>
      <c r="C39" s="148"/>
      <c r="D39" s="148"/>
      <c r="E39" s="148"/>
      <c r="F39" s="148"/>
      <c r="G39" s="148"/>
      <c r="H39" s="148"/>
      <c r="I39" s="148"/>
      <c r="J39" s="148"/>
      <c r="K39" s="148"/>
      <c r="L39" s="148"/>
      <c r="M39" s="148"/>
    </row>
    <row r="40" spans="2:14" s="130" customFormat="1" ht="26.25" x14ac:dyDescent="0.25">
      <c r="B40" s="135" t="s">
        <v>382</v>
      </c>
      <c r="C40" s="148"/>
      <c r="D40" s="148"/>
      <c r="E40" s="148"/>
      <c r="F40" s="148"/>
      <c r="G40" s="148"/>
      <c r="H40" s="148"/>
      <c r="I40" s="148"/>
      <c r="J40" s="148"/>
      <c r="K40" s="148"/>
      <c r="L40" s="148"/>
      <c r="M40" s="148"/>
    </row>
    <row r="41" spans="2:14" s="130" customFormat="1" x14ac:dyDescent="0.25">
      <c r="B41" s="134" t="s">
        <v>25</v>
      </c>
      <c r="C41" s="148"/>
      <c r="D41" s="148"/>
      <c r="E41" s="148"/>
      <c r="F41" s="148"/>
      <c r="G41" s="148"/>
      <c r="H41" s="148"/>
      <c r="I41" s="148"/>
      <c r="J41" s="148"/>
      <c r="K41" s="148"/>
      <c r="L41" s="148"/>
      <c r="M41" s="148"/>
    </row>
    <row r="42" spans="2:14" s="130" customFormat="1" x14ac:dyDescent="0.25">
      <c r="B42" s="134" t="s">
        <v>26</v>
      </c>
      <c r="C42" s="148"/>
      <c r="D42" s="148"/>
      <c r="E42" s="148"/>
      <c r="F42" s="148"/>
      <c r="G42" s="148"/>
      <c r="H42" s="148"/>
      <c r="I42" s="148"/>
      <c r="J42" s="148"/>
      <c r="K42" s="148"/>
      <c r="L42" s="148"/>
      <c r="M42" s="148"/>
    </row>
    <row r="43" spans="2:14" s="130" customFormat="1" x14ac:dyDescent="0.25">
      <c r="B43" s="134" t="s">
        <v>27</v>
      </c>
      <c r="C43" s="148">
        <v>272</v>
      </c>
      <c r="D43" s="148">
        <v>270</v>
      </c>
      <c r="E43" s="148">
        <v>261</v>
      </c>
      <c r="F43" s="148">
        <v>246</v>
      </c>
      <c r="G43" s="148">
        <v>207</v>
      </c>
      <c r="H43" s="148">
        <v>197</v>
      </c>
      <c r="I43" s="148">
        <v>188</v>
      </c>
      <c r="J43" s="148">
        <v>190</v>
      </c>
      <c r="K43" s="148">
        <v>235</v>
      </c>
      <c r="L43" s="148">
        <v>215</v>
      </c>
      <c r="M43" s="148">
        <v>170</v>
      </c>
    </row>
    <row r="44" spans="2:14" s="130" customFormat="1" x14ac:dyDescent="0.25">
      <c r="B44" s="134" t="s">
        <v>248</v>
      </c>
      <c r="C44" s="149">
        <v>615</v>
      </c>
      <c r="D44" s="149">
        <v>702</v>
      </c>
      <c r="E44" s="149">
        <v>690</v>
      </c>
      <c r="F44" s="149">
        <v>754</v>
      </c>
      <c r="G44" s="148">
        <v>749</v>
      </c>
      <c r="H44" s="148">
        <v>854</v>
      </c>
      <c r="I44" s="148">
        <v>828</v>
      </c>
      <c r="J44" s="148">
        <v>856</v>
      </c>
      <c r="K44" s="148">
        <v>756</v>
      </c>
      <c r="L44" s="148">
        <v>757</v>
      </c>
      <c r="M44" s="148">
        <v>800</v>
      </c>
    </row>
    <row r="45" spans="2:14" s="130" customFormat="1" x14ac:dyDescent="0.25">
      <c r="B45" s="134" t="s">
        <v>249</v>
      </c>
      <c r="C45" s="148">
        <v>10</v>
      </c>
      <c r="D45" s="148">
        <v>8</v>
      </c>
      <c r="E45" s="148">
        <v>6</v>
      </c>
      <c r="F45" s="148">
        <v>5</v>
      </c>
      <c r="G45" s="148">
        <v>11</v>
      </c>
      <c r="H45" s="148">
        <v>7</v>
      </c>
      <c r="I45" s="148">
        <v>7</v>
      </c>
      <c r="J45" s="148">
        <v>10</v>
      </c>
      <c r="K45" s="148">
        <v>12</v>
      </c>
      <c r="L45" s="148">
        <v>13</v>
      </c>
      <c r="M45" s="148">
        <v>19</v>
      </c>
    </row>
    <row r="46" spans="2:14" s="130" customFormat="1" x14ac:dyDescent="0.25">
      <c r="B46" s="133"/>
      <c r="C46" s="148"/>
      <c r="D46" s="148"/>
      <c r="E46" s="148"/>
      <c r="F46" s="148"/>
      <c r="G46" s="148"/>
      <c r="H46" s="148"/>
      <c r="I46" s="148"/>
      <c r="J46" s="148"/>
      <c r="K46" s="148"/>
      <c r="L46" s="148"/>
      <c r="M46" s="148"/>
    </row>
    <row r="47" spans="2:14" s="130" customFormat="1" x14ac:dyDescent="0.25">
      <c r="B47" s="139" t="s">
        <v>17</v>
      </c>
      <c r="C47" s="148"/>
      <c r="D47" s="148"/>
      <c r="E47" s="148"/>
      <c r="F47" s="148"/>
      <c r="G47" s="148"/>
      <c r="H47" s="148"/>
      <c r="I47" s="148"/>
      <c r="J47" s="148"/>
      <c r="K47" s="148"/>
      <c r="L47" s="148"/>
      <c r="M47" s="148"/>
    </row>
    <row r="48" spans="2:14" s="130" customFormat="1" x14ac:dyDescent="0.25">
      <c r="B48" s="140" t="s">
        <v>29</v>
      </c>
      <c r="C48" s="150">
        <f>C32/Folkmängd!C11*100000</f>
        <v>75.193432141219674</v>
      </c>
      <c r="D48" s="150">
        <f>D32/Folkmängd!D11*100000</f>
        <v>74.249012872816053</v>
      </c>
      <c r="E48" s="150">
        <f>E32/Folkmängd!E11*100000</f>
        <v>73.443491310166976</v>
      </c>
      <c r="F48" s="150">
        <f>F32/Folkmängd!F11*100000</f>
        <v>67.106099885900107</v>
      </c>
      <c r="G48" s="150">
        <f>G32/Folkmängd!G11*100000</f>
        <v>68.639450572889558</v>
      </c>
      <c r="H48" s="150">
        <f>H32/Folkmängd!H11*100000</f>
        <v>69.374860457515993</v>
      </c>
      <c r="I48" s="150">
        <f>I32/Folkmängd!I11*100000</f>
        <v>59.536905576315526</v>
      </c>
      <c r="J48" s="150">
        <f>J32/Folkmängd!J11*100000</f>
        <v>57.501371729783351</v>
      </c>
      <c r="K48" s="150">
        <f>K32/Folkmängd!K11*100000</f>
        <v>63.558685959833042</v>
      </c>
      <c r="L48" s="150">
        <f>L32/Folkmängd!L11*100000</f>
        <v>59.466826656211452</v>
      </c>
      <c r="M48" s="150">
        <f>M32/Folkmängd!M11*100000</f>
        <v>63.919604645718778</v>
      </c>
      <c r="N48" s="151"/>
    </row>
    <row r="49" spans="2:14" s="130" customFormat="1" x14ac:dyDescent="0.25">
      <c r="B49" s="140" t="s">
        <v>30</v>
      </c>
      <c r="C49" s="150">
        <f>C32/Folkmängd!C12*100000</f>
        <v>62.847740067910784</v>
      </c>
      <c r="D49" s="150">
        <f>D32/Folkmängd!D12*100000</f>
        <v>62.082480696771214</v>
      </c>
      <c r="E49" s="150">
        <f>E32/Folkmängd!E12*100000</f>
        <v>61.450897234126465</v>
      </c>
      <c r="F49" s="150">
        <f>F32/Folkmängd!F12*100000</f>
        <v>56.202672688753665</v>
      </c>
      <c r="G49" s="150">
        <f>G32/Folkmängd!G12*100000</f>
        <v>57.553513158586867</v>
      </c>
      <c r="H49" s="150">
        <f>H32/Folkmängd!H12*100000</f>
        <v>58.282841774226839</v>
      </c>
      <c r="I49" s="150">
        <f>I32/Folkmängd!I12*100000</f>
        <v>50.151195629117879</v>
      </c>
      <c r="J49" s="150">
        <f>J32/Folkmängd!J12*100000</f>
        <v>48.556207288563201</v>
      </c>
      <c r="K49" s="150">
        <f>K32/Folkmängd!K12*100000</f>
        <v>53.800835255714382</v>
      </c>
      <c r="L49" s="150">
        <f>L32/Folkmängd!L12*100000</f>
        <v>50.485534609280784</v>
      </c>
      <c r="M49" s="150">
        <f>M32/Folkmängd!M12*100000</f>
        <v>54.426857530651695</v>
      </c>
      <c r="N49" s="151"/>
    </row>
    <row r="50" spans="2:14" s="130" customFormat="1" x14ac:dyDescent="0.25">
      <c r="B50" s="139"/>
      <c r="C50" s="145"/>
      <c r="D50" s="145"/>
      <c r="E50" s="145"/>
      <c r="F50" s="145"/>
      <c r="G50" s="145"/>
      <c r="H50" s="145"/>
      <c r="I50" s="145"/>
      <c r="J50" s="145"/>
      <c r="K50" s="145"/>
      <c r="L50" s="145"/>
      <c r="M50" s="145"/>
    </row>
    <row r="51" spans="2:14" s="130" customFormat="1" x14ac:dyDescent="0.25">
      <c r="B51" s="139" t="s">
        <v>18</v>
      </c>
      <c r="C51" s="145"/>
      <c r="D51" s="145"/>
      <c r="E51" s="145"/>
      <c r="F51" s="145"/>
      <c r="G51" s="145"/>
      <c r="H51" s="145"/>
      <c r="I51" s="145"/>
      <c r="J51" s="145"/>
      <c r="K51" s="145"/>
      <c r="L51" s="145"/>
      <c r="M51" s="145"/>
    </row>
    <row r="52" spans="2:14" s="130" customFormat="1" x14ac:dyDescent="0.25">
      <c r="B52" s="140" t="s">
        <v>29</v>
      </c>
      <c r="C52" s="150">
        <f>C33/Folkmängd!C11*100000</f>
        <v>104.27437130850399</v>
      </c>
      <c r="D52" s="150">
        <f>D33/Folkmängd!D11*100000</f>
        <v>105.2207088518506</v>
      </c>
      <c r="E52" s="150">
        <f>E33/Folkmängd!E11*100000</f>
        <v>97.205902051386488</v>
      </c>
      <c r="F52" s="150">
        <f>F33/Folkmängd!F11*100000</f>
        <v>94.551691982784561</v>
      </c>
      <c r="G52" s="150">
        <f>G33/Folkmängd!G11*100000</f>
        <v>96.501919005880978</v>
      </c>
      <c r="H52" s="150">
        <f>H33/Folkmängd!H11*100000</f>
        <v>95.58457919379768</v>
      </c>
      <c r="I52" s="150">
        <f>I33/Folkmängd!I11*100000</f>
        <v>90.949015266886903</v>
      </c>
      <c r="J52" s="150">
        <f>J33/Folkmängd!J11*100000</f>
        <v>96.74867941583571</v>
      </c>
      <c r="K52" s="150">
        <f>K33/Folkmängd!K11*100000</f>
        <v>97.286310268166545</v>
      </c>
      <c r="L52" s="150">
        <f>L33/Folkmängd!L11*100000</f>
        <v>94.249310172108721</v>
      </c>
      <c r="M52" s="150">
        <f>M33/Folkmängd!M11*100000</f>
        <v>90.137121174175888</v>
      </c>
    </row>
    <row r="53" spans="2:14" s="130" customFormat="1" x14ac:dyDescent="0.25">
      <c r="B53" s="140" t="s">
        <v>30</v>
      </c>
      <c r="C53" s="150">
        <f>C33/Folkmängd!C12*100000</f>
        <v>87.154002645255133</v>
      </c>
      <c r="D53" s="150">
        <f>D33/Folkmängd!D12*100000</f>
        <v>87.979117478438809</v>
      </c>
      <c r="E53" s="150">
        <f>E33/Folkmängd!E12*100000</f>
        <v>81.333141861182199</v>
      </c>
      <c r="F53" s="150">
        <f>F33/Folkmängd!F12*100000</f>
        <v>79.188893494209012</v>
      </c>
      <c r="G53" s="150">
        <f>G33/Folkmängd!G12*100000</f>
        <v>80.915922534023323</v>
      </c>
      <c r="H53" s="150">
        <f>H33/Folkmängd!H12*100000</f>
        <v>80.302012407213653</v>
      </c>
      <c r="I53" s="150">
        <f>I33/Folkmängd!I12*100000</f>
        <v>76.611335654296639</v>
      </c>
      <c r="J53" s="150">
        <f>J33/Folkmängd!J12*100000</f>
        <v>81.698032434534511</v>
      </c>
      <c r="K53" s="150">
        <f>K33/Folkmängd!K12*100000</f>
        <v>82.350424215530651</v>
      </c>
      <c r="L53" s="150">
        <f>L33/Folkmängd!L12*100000</f>
        <v>80.014809569426149</v>
      </c>
      <c r="M53" s="150">
        <f>M33/Folkmängd!M12*100000</f>
        <v>76.750791553879637</v>
      </c>
    </row>
    <row r="54" spans="2:14" s="130" customFormat="1" x14ac:dyDescent="0.25">
      <c r="B54" s="140"/>
    </row>
    <row r="55" spans="2:14" s="130" customFormat="1" x14ac:dyDescent="0.25">
      <c r="B55" s="139" t="s">
        <v>247</v>
      </c>
    </row>
    <row r="56" spans="2:14" s="130" customFormat="1" x14ac:dyDescent="0.25">
      <c r="B56" s="145" t="s">
        <v>394</v>
      </c>
    </row>
    <row r="57" spans="2:14" s="130" customFormat="1" x14ac:dyDescent="0.25">
      <c r="B57" s="145"/>
    </row>
    <row r="58" spans="2:14" s="130" customFormat="1" x14ac:dyDescent="0.25">
      <c r="B58" s="145"/>
    </row>
    <row r="59" spans="2:14" s="130" customFormat="1" x14ac:dyDescent="0.25">
      <c r="B59" s="145"/>
    </row>
    <row r="61" spans="2:14" s="130" customFormat="1" ht="18.75" x14ac:dyDescent="0.3">
      <c r="B61" s="131" t="s">
        <v>32</v>
      </c>
      <c r="C61" s="132">
        <v>2014</v>
      </c>
      <c r="D61" s="132">
        <v>2015</v>
      </c>
      <c r="E61" s="132">
        <v>2016</v>
      </c>
      <c r="F61" s="132">
        <v>2017</v>
      </c>
      <c r="G61" s="132">
        <v>2018</v>
      </c>
      <c r="H61" s="132">
        <v>2019</v>
      </c>
      <c r="I61" s="132">
        <v>2020</v>
      </c>
      <c r="J61" s="132">
        <v>2021</v>
      </c>
      <c r="K61" s="132">
        <v>2022</v>
      </c>
      <c r="L61" s="132">
        <v>2023</v>
      </c>
      <c r="M61" s="132">
        <v>2024</v>
      </c>
    </row>
    <row r="62" spans="2:14" s="130" customFormat="1" x14ac:dyDescent="0.25">
      <c r="B62" s="133" t="s">
        <v>14</v>
      </c>
      <c r="C62" s="148">
        <v>186</v>
      </c>
      <c r="D62" s="148">
        <v>183</v>
      </c>
      <c r="E62" s="148">
        <v>153</v>
      </c>
      <c r="F62" s="148">
        <v>174</v>
      </c>
      <c r="G62" s="148">
        <v>163</v>
      </c>
      <c r="H62" s="148">
        <v>202</v>
      </c>
      <c r="I62" s="148">
        <v>160</v>
      </c>
      <c r="J62" s="148">
        <v>159</v>
      </c>
      <c r="K62" s="148">
        <v>141</v>
      </c>
      <c r="L62" s="148">
        <v>163</v>
      </c>
      <c r="M62" s="148">
        <v>143</v>
      </c>
    </row>
    <row r="63" spans="2:14" s="130" customFormat="1" x14ac:dyDescent="0.25">
      <c r="B63" s="133" t="s">
        <v>15</v>
      </c>
      <c r="C63" s="148">
        <v>331</v>
      </c>
      <c r="D63" s="148">
        <v>340</v>
      </c>
      <c r="E63" s="148">
        <v>328</v>
      </c>
      <c r="F63" s="148">
        <v>263</v>
      </c>
      <c r="G63" s="148">
        <v>362</v>
      </c>
      <c r="H63" s="148">
        <v>382</v>
      </c>
      <c r="I63" s="148">
        <v>332</v>
      </c>
      <c r="J63" s="148">
        <v>419</v>
      </c>
      <c r="K63" s="148">
        <v>323</v>
      </c>
      <c r="L63" s="148">
        <v>266</v>
      </c>
      <c r="M63" s="148">
        <v>297</v>
      </c>
    </row>
    <row r="64" spans="2:14" s="130" customFormat="1" x14ac:dyDescent="0.25">
      <c r="B64" s="133" t="s">
        <v>16</v>
      </c>
      <c r="C64" s="148"/>
      <c r="D64" s="148"/>
      <c r="E64" s="148"/>
      <c r="F64" s="148"/>
      <c r="G64" s="148"/>
      <c r="H64" s="148"/>
      <c r="I64" s="148"/>
      <c r="J64" s="148"/>
      <c r="K64" s="148"/>
      <c r="L64" s="148"/>
      <c r="M64" s="148"/>
    </row>
    <row r="65" spans="2:13" s="130" customFormat="1" x14ac:dyDescent="0.25">
      <c r="B65" s="134" t="s">
        <v>250</v>
      </c>
      <c r="C65" s="148">
        <v>244</v>
      </c>
      <c r="D65" s="148">
        <v>254</v>
      </c>
      <c r="E65" s="148">
        <v>253</v>
      </c>
      <c r="F65" s="148">
        <v>197</v>
      </c>
      <c r="G65" s="148">
        <v>301</v>
      </c>
      <c r="H65" s="148">
        <v>310</v>
      </c>
      <c r="I65" s="148">
        <v>254</v>
      </c>
      <c r="J65" s="148">
        <v>374</v>
      </c>
      <c r="K65" s="148">
        <v>255</v>
      </c>
      <c r="L65" s="148">
        <v>217</v>
      </c>
      <c r="M65" s="148">
        <v>232</v>
      </c>
    </row>
    <row r="66" spans="2:13" s="130" customFormat="1" x14ac:dyDescent="0.25">
      <c r="B66" s="134" t="s">
        <v>21</v>
      </c>
      <c r="C66" s="148"/>
      <c r="D66" s="148"/>
      <c r="E66" s="148"/>
      <c r="F66" s="148"/>
      <c r="G66" s="148"/>
      <c r="H66" s="148"/>
      <c r="I66" s="148"/>
      <c r="J66" s="148"/>
      <c r="K66" s="148"/>
      <c r="L66" s="148"/>
      <c r="M66" s="148"/>
    </row>
    <row r="67" spans="2:13" s="130" customFormat="1" x14ac:dyDescent="0.25">
      <c r="B67" s="134" t="s">
        <v>22</v>
      </c>
      <c r="C67" s="148">
        <v>38</v>
      </c>
      <c r="D67" s="148">
        <v>42</v>
      </c>
      <c r="E67" s="148">
        <v>38</v>
      </c>
      <c r="F67" s="148">
        <v>25</v>
      </c>
      <c r="G67" s="148">
        <v>27</v>
      </c>
      <c r="H67" s="148">
        <v>32</v>
      </c>
      <c r="I67" s="148">
        <v>34</v>
      </c>
      <c r="J67" s="148">
        <v>25</v>
      </c>
      <c r="K67" s="148">
        <v>18</v>
      </c>
      <c r="L67" s="148">
        <v>17</v>
      </c>
      <c r="M67" s="148">
        <v>33</v>
      </c>
    </row>
    <row r="68" spans="2:13" s="130" customFormat="1" x14ac:dyDescent="0.25">
      <c r="B68" s="134" t="s">
        <v>23</v>
      </c>
      <c r="C68" s="148">
        <v>4</v>
      </c>
      <c r="D68" s="148">
        <v>8</v>
      </c>
      <c r="E68" s="148">
        <v>4</v>
      </c>
      <c r="F68" s="148">
        <v>6</v>
      </c>
      <c r="G68" s="148">
        <v>2</v>
      </c>
      <c r="H68" s="148">
        <v>4</v>
      </c>
      <c r="I68" s="148">
        <v>3</v>
      </c>
      <c r="J68" s="148">
        <v>0</v>
      </c>
      <c r="K68" s="148">
        <v>13</v>
      </c>
      <c r="L68" s="148">
        <v>7</v>
      </c>
      <c r="M68" s="148">
        <v>13</v>
      </c>
    </row>
    <row r="69" spans="2:13" s="130" customFormat="1" x14ac:dyDescent="0.25">
      <c r="B69" s="134" t="s">
        <v>24</v>
      </c>
      <c r="C69" s="148"/>
      <c r="D69" s="148"/>
      <c r="E69" s="148"/>
      <c r="F69" s="148"/>
      <c r="G69" s="148"/>
      <c r="H69" s="148"/>
      <c r="I69" s="148"/>
      <c r="J69" s="148"/>
      <c r="K69" s="148"/>
      <c r="L69" s="148"/>
      <c r="M69" s="148"/>
    </row>
    <row r="70" spans="2:13" s="130" customFormat="1" ht="26.25" x14ac:dyDescent="0.25">
      <c r="B70" s="135" t="s">
        <v>382</v>
      </c>
      <c r="C70" s="148"/>
      <c r="D70" s="148"/>
      <c r="E70" s="148"/>
      <c r="F70" s="148"/>
      <c r="G70" s="148"/>
      <c r="H70" s="148"/>
      <c r="I70" s="148"/>
      <c r="J70" s="148"/>
      <c r="K70" s="148"/>
      <c r="L70" s="148"/>
      <c r="M70" s="148"/>
    </row>
    <row r="71" spans="2:13" s="130" customFormat="1" x14ac:dyDescent="0.25">
      <c r="B71" s="134" t="s">
        <v>25</v>
      </c>
      <c r="C71" s="148"/>
      <c r="D71" s="148"/>
      <c r="E71" s="148"/>
      <c r="F71" s="148"/>
      <c r="G71" s="148"/>
      <c r="H71" s="148"/>
      <c r="I71" s="148"/>
      <c r="J71" s="148"/>
      <c r="K71" s="148"/>
      <c r="L71" s="148"/>
      <c r="M71" s="148"/>
    </row>
    <row r="72" spans="2:13" s="130" customFormat="1" x14ac:dyDescent="0.25">
      <c r="B72" s="134" t="s">
        <v>26</v>
      </c>
      <c r="C72" s="148"/>
      <c r="D72" s="148"/>
      <c r="E72" s="148"/>
      <c r="F72" s="148"/>
      <c r="G72" s="148"/>
      <c r="H72" s="148"/>
      <c r="I72" s="148"/>
      <c r="J72" s="148"/>
      <c r="K72" s="148"/>
      <c r="L72" s="148"/>
      <c r="M72" s="148"/>
    </row>
    <row r="73" spans="2:13" s="130" customFormat="1" x14ac:dyDescent="0.25">
      <c r="B73" s="134" t="s">
        <v>27</v>
      </c>
      <c r="C73" s="148"/>
      <c r="D73" s="148"/>
      <c r="E73" s="148"/>
      <c r="F73" s="148"/>
      <c r="G73" s="148"/>
      <c r="H73" s="148"/>
      <c r="I73" s="148"/>
      <c r="J73" s="148"/>
      <c r="K73" s="148"/>
      <c r="L73" s="148"/>
      <c r="M73" s="148"/>
    </row>
    <row r="74" spans="2:13" s="130" customFormat="1" x14ac:dyDescent="0.25">
      <c r="B74" s="134" t="s">
        <v>28</v>
      </c>
      <c r="C74" s="148">
        <v>45</v>
      </c>
      <c r="D74" s="148">
        <v>36</v>
      </c>
      <c r="E74" s="148">
        <v>33</v>
      </c>
      <c r="F74" s="148">
        <v>35</v>
      </c>
      <c r="G74" s="148">
        <v>32</v>
      </c>
      <c r="H74" s="148">
        <v>36</v>
      </c>
      <c r="I74" s="148">
        <v>41</v>
      </c>
      <c r="J74" s="148">
        <v>20</v>
      </c>
      <c r="K74" s="148">
        <v>37</v>
      </c>
      <c r="L74" s="148">
        <v>25</v>
      </c>
      <c r="M74" s="148">
        <v>19</v>
      </c>
    </row>
    <row r="75" spans="2:13" s="130" customFormat="1" x14ac:dyDescent="0.25">
      <c r="B75" s="134" t="s">
        <v>19</v>
      </c>
      <c r="C75" s="148"/>
      <c r="D75" s="148"/>
      <c r="E75" s="148"/>
      <c r="F75" s="148"/>
      <c r="G75" s="148"/>
      <c r="H75" s="148"/>
      <c r="I75" s="148"/>
      <c r="J75" s="148"/>
      <c r="K75" s="148"/>
      <c r="L75" s="148"/>
      <c r="M75" s="148"/>
    </row>
    <row r="76" spans="2:13" s="130" customFormat="1" x14ac:dyDescent="0.25">
      <c r="B76" s="133"/>
      <c r="C76" s="148"/>
      <c r="D76" s="148"/>
      <c r="E76" s="148"/>
      <c r="F76" s="148"/>
      <c r="G76" s="148"/>
      <c r="H76" s="148"/>
      <c r="I76" s="148"/>
      <c r="J76" s="148"/>
      <c r="K76" s="148"/>
      <c r="L76" s="148"/>
      <c r="M76" s="148"/>
    </row>
    <row r="77" spans="2:13" s="130" customFormat="1" x14ac:dyDescent="0.25">
      <c r="B77" s="139" t="s">
        <v>17</v>
      </c>
      <c r="C77" s="148"/>
      <c r="D77" s="148"/>
      <c r="E77" s="148"/>
      <c r="F77" s="148"/>
      <c r="G77" s="148"/>
      <c r="H77" s="148"/>
      <c r="I77" s="148"/>
      <c r="J77" s="148"/>
      <c r="K77" s="148"/>
      <c r="L77" s="148"/>
      <c r="M77" s="148"/>
    </row>
    <row r="78" spans="2:13" s="130" customFormat="1" x14ac:dyDescent="0.25">
      <c r="B78" s="140" t="s">
        <v>29</v>
      </c>
      <c r="C78" s="150">
        <f>C62/Folkmängd!C17*100000</f>
        <v>73.415932836262726</v>
      </c>
      <c r="D78" s="150">
        <f>D62/Folkmängd!D17*100000</f>
        <v>71.362000319764164</v>
      </c>
      <c r="E78" s="150">
        <f>E62/Folkmängd!E17*100000</f>
        <v>58.862227762196603</v>
      </c>
      <c r="F78" s="150">
        <f>F62/Folkmängd!F17*100000</f>
        <v>65.390425939705509</v>
      </c>
      <c r="G78" s="150">
        <f>G62/Folkmängd!G17*100000</f>
        <v>59.24149085027895</v>
      </c>
      <c r="H78" s="150">
        <f>H62/Folkmängd!H17*100000</f>
        <v>71.626887740809963</v>
      </c>
      <c r="I78" s="150">
        <f>I62/Folkmängd!I17*100000</f>
        <v>55.88777734309506</v>
      </c>
      <c r="J78" s="150">
        <f>J62/Folkmängd!J17*100000</f>
        <v>54.877354290270141</v>
      </c>
      <c r="K78" s="150">
        <f>K62/Folkmängd!K17*100000</f>
        <v>47.697980447210853</v>
      </c>
      <c r="L78" s="150">
        <f>L62/Folkmängd!L17*100000</f>
        <v>53.403577056774878</v>
      </c>
      <c r="M78" s="150">
        <f>M62/[1]Folkmängd!M17*100000</f>
        <v>45.587714907820363</v>
      </c>
    </row>
    <row r="79" spans="2:13" s="130" customFormat="1" x14ac:dyDescent="0.25">
      <c r="B79" s="140" t="s">
        <v>30</v>
      </c>
      <c r="C79" s="150">
        <f>C62/Folkmängd!C18*100000</f>
        <v>58.176267836030497</v>
      </c>
      <c r="D79" s="150">
        <f>D62/Folkmängd!D18*100000</f>
        <v>56.652137302491454</v>
      </c>
      <c r="E79" s="150">
        <f>E62/Folkmängd!E18*100000</f>
        <v>46.927333177931274</v>
      </c>
      <c r="F79" s="150">
        <f>F62/Folkmängd!F18*100000</f>
        <v>52.329725389239925</v>
      </c>
      <c r="G79" s="150">
        <f>G62/Folkmängd!G18*100000</f>
        <v>47.635329633558648</v>
      </c>
      <c r="H79" s="150">
        <f>H62/Folkmängd!H18*100000</f>
        <v>57.802144974647177</v>
      </c>
      <c r="I79" s="150">
        <f>I62/Folkmängd!I18*100000</f>
        <v>45.19237830539879</v>
      </c>
      <c r="J79" s="150">
        <f>J62/Folkmängd!J18*100000</f>
        <v>44.376468749476693</v>
      </c>
      <c r="K79" s="150">
        <f>K62/Folkmängd!K18*100000</f>
        <v>38.638923371616009</v>
      </c>
      <c r="L79" s="150">
        <f>L62/Folkmängd!L18*100000</f>
        <v>43.441412725402301</v>
      </c>
      <c r="M79" s="150">
        <f>M62/[1]Folkmängd!M18*100000</f>
        <v>35.842204069969995</v>
      </c>
    </row>
    <row r="80" spans="2:13" s="130" customFormat="1" x14ac:dyDescent="0.25">
      <c r="B80" s="139"/>
      <c r="C80" s="150"/>
      <c r="D80" s="150"/>
      <c r="E80" s="150"/>
      <c r="F80" s="150"/>
      <c r="G80" s="150"/>
      <c r="H80" s="150"/>
      <c r="I80" s="150"/>
      <c r="J80" s="150"/>
      <c r="K80" s="150"/>
      <c r="L80" s="150"/>
      <c r="M80" s="150"/>
    </row>
    <row r="81" spans="2:13" s="130" customFormat="1" x14ac:dyDescent="0.25">
      <c r="B81" s="139" t="s">
        <v>18</v>
      </c>
      <c r="C81" s="150"/>
      <c r="D81" s="150"/>
      <c r="E81" s="150"/>
      <c r="F81" s="150"/>
      <c r="G81" s="150"/>
      <c r="H81" s="150"/>
      <c r="I81" s="150"/>
      <c r="J81" s="150"/>
      <c r="K81" s="150"/>
      <c r="L81" s="150"/>
      <c r="M81" s="150"/>
    </row>
    <row r="82" spans="2:13" s="130" customFormat="1" x14ac:dyDescent="0.25">
      <c r="B82" s="140" t="s">
        <v>29</v>
      </c>
      <c r="C82" s="150">
        <f>C63/Folkmängd!C17*100000</f>
        <v>130.64878370324175</v>
      </c>
      <c r="D82" s="150">
        <f>D63/Folkmängd!D17*100000</f>
        <v>132.58513720611921</v>
      </c>
      <c r="E82" s="150">
        <f>E63/Folkmängd!E17*100000</f>
        <v>126.18830526797701</v>
      </c>
      <c r="F82" s="150">
        <f>F63/Folkmängd!F17*100000</f>
        <v>98.83725300081926</v>
      </c>
      <c r="G82" s="150">
        <f>G63/Folkmängd!G17*100000</f>
        <v>131.56699194969923</v>
      </c>
      <c r="H82" s="150">
        <f>H63/Folkmängd!H17*100000</f>
        <v>135.45282731182871</v>
      </c>
      <c r="I82" s="150">
        <f>I63/Folkmängd!I17*100000</f>
        <v>115.96713798692225</v>
      </c>
      <c r="J82" s="150">
        <f>J63/Folkmängd!J17*100000</f>
        <v>144.61390847561756</v>
      </c>
      <c r="K82" s="150">
        <f>K63/Folkmängd!K17*100000</f>
        <v>109.26558641453266</v>
      </c>
      <c r="L82" s="150">
        <f>L63/Folkmängd!L17*100000</f>
        <v>87.149395687743052</v>
      </c>
      <c r="M82" s="150">
        <f>M63/[1]Folkmängd!M17*100000</f>
        <v>94.6821771162423</v>
      </c>
    </row>
    <row r="83" spans="2:13" s="130" customFormat="1" x14ac:dyDescent="0.25">
      <c r="B83" s="140" t="s">
        <v>30</v>
      </c>
      <c r="C83" s="150">
        <f>C63/Folkmängd!C18*100000</f>
        <v>103.52873469745214</v>
      </c>
      <c r="D83" s="150">
        <f>D63/Folkmängd!D18*100000</f>
        <v>105.25533706473823</v>
      </c>
      <c r="E83" s="150">
        <f>E63/Folkmängd!E18*100000</f>
        <v>100.60238746641475</v>
      </c>
      <c r="F83" s="150">
        <f>F63/Folkmängd!F18*100000</f>
        <v>79.09607918028793</v>
      </c>
      <c r="G83" s="150">
        <f>G63/Folkmängd!G18*100000</f>
        <v>105.79134556655356</v>
      </c>
      <c r="H83" s="150">
        <f>H63/Folkmängd!H18*100000</f>
        <v>109.30900683324369</v>
      </c>
      <c r="I83" s="150">
        <f>I63/Folkmängd!I18*100000</f>
        <v>93.774184983702497</v>
      </c>
      <c r="J83" s="150">
        <f>J63/Folkmängd!J18*100000</f>
        <v>116.94176355994173</v>
      </c>
      <c r="K83" s="150">
        <f>K63/Folkmängd!K18*100000</f>
        <v>88.513278361928883</v>
      </c>
      <c r="L83" s="150">
        <f>L63/Folkmängd!L18*100000</f>
        <v>70.892121380104371</v>
      </c>
      <c r="M83" s="150">
        <f>M63/[1]Folkmängd!M18*100000</f>
        <v>74.441500760706916</v>
      </c>
    </row>
    <row r="84" spans="2:13" s="130" customFormat="1" x14ac:dyDescent="0.25">
      <c r="B84" s="140"/>
    </row>
    <row r="85" spans="2:13" s="130" customFormat="1" x14ac:dyDescent="0.25">
      <c r="B85" s="152" t="s">
        <v>404</v>
      </c>
    </row>
    <row r="88" spans="2:13" s="130" customFormat="1" ht="18.75" x14ac:dyDescent="0.3">
      <c r="B88" s="131" t="s">
        <v>33</v>
      </c>
      <c r="C88" s="132">
        <v>2014</v>
      </c>
      <c r="D88" s="132">
        <v>2015</v>
      </c>
      <c r="E88" s="132">
        <v>2016</v>
      </c>
      <c r="F88" s="132">
        <v>2017</v>
      </c>
      <c r="G88" s="132">
        <v>2018</v>
      </c>
      <c r="H88" s="132">
        <v>2019</v>
      </c>
      <c r="I88" s="132">
        <v>2020</v>
      </c>
      <c r="J88" s="132">
        <v>2021</v>
      </c>
      <c r="K88" s="132">
        <v>2022</v>
      </c>
      <c r="L88" s="132">
        <v>2023</v>
      </c>
      <c r="M88" s="132">
        <v>2024</v>
      </c>
    </row>
    <row r="89" spans="2:13" s="130" customFormat="1" x14ac:dyDescent="0.25">
      <c r="B89" s="133" t="s">
        <v>14</v>
      </c>
      <c r="C89" s="147">
        <v>6718</v>
      </c>
      <c r="D89" s="147">
        <f>6602+124</f>
        <v>6726</v>
      </c>
      <c r="E89" s="147">
        <f>6660+132</f>
        <v>6792</v>
      </c>
      <c r="F89" s="147">
        <v>6297</v>
      </c>
      <c r="G89" s="147">
        <v>5467</v>
      </c>
      <c r="H89" s="147">
        <v>4597</v>
      </c>
      <c r="I89" s="147">
        <v>3772</v>
      </c>
      <c r="J89" s="147">
        <v>4358</v>
      </c>
      <c r="K89" s="147">
        <v>3869</v>
      </c>
      <c r="L89" s="147">
        <v>3605</v>
      </c>
      <c r="M89" s="147">
        <v>3705</v>
      </c>
    </row>
    <row r="90" spans="2:13" s="130" customFormat="1" x14ac:dyDescent="0.25">
      <c r="B90" s="133" t="s">
        <v>15</v>
      </c>
      <c r="C90" s="147">
        <v>6409</v>
      </c>
      <c r="D90" s="147">
        <v>6563</v>
      </c>
      <c r="E90" s="147">
        <v>6541</v>
      </c>
      <c r="F90" s="147">
        <f>F93+F94+F95+F97+F100+F101+F102</f>
        <v>6645</v>
      </c>
      <c r="G90" s="147">
        <f>G93+G94+G95+G97+G100+G101+G102</f>
        <v>6178</v>
      </c>
      <c r="H90" s="147">
        <f>H93+H94+H95+H97+H100+H101+H102</f>
        <v>6479</v>
      </c>
      <c r="I90" s="147">
        <v>6834</v>
      </c>
      <c r="J90" s="147">
        <v>7556</v>
      </c>
      <c r="K90" s="147">
        <v>6608</v>
      </c>
      <c r="L90" s="147">
        <v>5921</v>
      </c>
      <c r="M90" s="147">
        <v>5955</v>
      </c>
    </row>
    <row r="91" spans="2:13" s="130" customFormat="1" x14ac:dyDescent="0.25">
      <c r="B91" s="133" t="s">
        <v>16</v>
      </c>
      <c r="C91" s="148"/>
      <c r="D91" s="148"/>
      <c r="E91" s="148"/>
      <c r="F91" s="148"/>
      <c r="G91" s="148"/>
      <c r="H91" s="148"/>
      <c r="I91" s="148"/>
      <c r="J91" s="147"/>
      <c r="K91" s="148"/>
      <c r="L91" s="147"/>
      <c r="M91" s="147"/>
    </row>
    <row r="92" spans="2:13" s="130" customFormat="1" x14ac:dyDescent="0.25">
      <c r="B92" s="134" t="s">
        <v>20</v>
      </c>
      <c r="C92" s="148">
        <v>0</v>
      </c>
      <c r="D92" s="148">
        <v>0</v>
      </c>
      <c r="E92" s="148">
        <v>0</v>
      </c>
      <c r="F92" s="148">
        <v>0</v>
      </c>
      <c r="G92" s="148">
        <v>0</v>
      </c>
      <c r="H92" s="148">
        <v>0</v>
      </c>
      <c r="I92" s="148">
        <v>0</v>
      </c>
      <c r="J92" s="147">
        <v>0</v>
      </c>
      <c r="K92" s="148"/>
      <c r="L92" s="147"/>
      <c r="M92" s="147"/>
    </row>
    <row r="93" spans="2:13" s="130" customFormat="1" x14ac:dyDescent="0.25">
      <c r="B93" s="134" t="s">
        <v>21</v>
      </c>
      <c r="C93" s="147">
        <v>2246</v>
      </c>
      <c r="D93" s="147">
        <v>1914</v>
      </c>
      <c r="E93" s="147">
        <v>1909</v>
      </c>
      <c r="F93" s="147">
        <v>1980</v>
      </c>
      <c r="G93" s="147">
        <v>1782</v>
      </c>
      <c r="H93" s="147">
        <v>1797</v>
      </c>
      <c r="I93" s="147">
        <v>1630</v>
      </c>
      <c r="J93" s="147">
        <v>2115</v>
      </c>
      <c r="K93" s="147">
        <v>1707</v>
      </c>
      <c r="L93" s="147">
        <v>1553</v>
      </c>
      <c r="M93" s="147">
        <v>1449</v>
      </c>
    </row>
    <row r="94" spans="2:13" s="130" customFormat="1" x14ac:dyDescent="0.25">
      <c r="B94" s="134" t="s">
        <v>22</v>
      </c>
      <c r="C94" s="148">
        <v>794</v>
      </c>
      <c r="D94" s="148">
        <v>750</v>
      </c>
      <c r="E94" s="148">
        <v>760</v>
      </c>
      <c r="F94" s="148">
        <v>723</v>
      </c>
      <c r="G94" s="148">
        <v>666</v>
      </c>
      <c r="H94" s="148">
        <v>640</v>
      </c>
      <c r="I94" s="148">
        <v>535</v>
      </c>
      <c r="J94" s="147">
        <v>578</v>
      </c>
      <c r="K94" s="148">
        <v>601</v>
      </c>
      <c r="L94" s="147">
        <v>535</v>
      </c>
      <c r="M94" s="147">
        <v>437</v>
      </c>
    </row>
    <row r="95" spans="2:13" s="130" customFormat="1" x14ac:dyDescent="0.25">
      <c r="B95" s="134" t="s">
        <v>23</v>
      </c>
      <c r="C95" s="148">
        <v>6</v>
      </c>
      <c r="D95" s="148">
        <v>7</v>
      </c>
      <c r="E95" s="148">
        <v>5</v>
      </c>
      <c r="F95" s="148">
        <v>5</v>
      </c>
      <c r="G95" s="148">
        <v>6</v>
      </c>
      <c r="H95" s="148">
        <v>3</v>
      </c>
      <c r="I95" s="148">
        <v>0</v>
      </c>
      <c r="J95" s="147">
        <v>0</v>
      </c>
      <c r="K95" s="148"/>
      <c r="L95" s="147">
        <v>0</v>
      </c>
      <c r="M95" s="147">
        <v>0</v>
      </c>
    </row>
    <row r="96" spans="2:13" s="130" customFormat="1" x14ac:dyDescent="0.25">
      <c r="B96" s="134" t="s">
        <v>24</v>
      </c>
      <c r="C96" s="148"/>
      <c r="D96" s="148"/>
      <c r="E96" s="148"/>
      <c r="F96" s="148"/>
      <c r="G96" s="148"/>
      <c r="H96" s="148"/>
      <c r="I96" s="148"/>
      <c r="J96" s="147"/>
      <c r="K96" s="148"/>
      <c r="L96" s="147"/>
      <c r="M96" s="147"/>
    </row>
    <row r="97" spans="2:13" s="130" customFormat="1" ht="26.25" x14ac:dyDescent="0.25">
      <c r="B97" s="135" t="s">
        <v>382</v>
      </c>
      <c r="C97" s="148">
        <v>497</v>
      </c>
      <c r="D97" s="148">
        <v>556</v>
      </c>
      <c r="E97" s="148">
        <v>463</v>
      </c>
      <c r="F97" s="148">
        <v>468</v>
      </c>
      <c r="G97" s="148">
        <v>388</v>
      </c>
      <c r="H97" s="148">
        <v>366</v>
      </c>
      <c r="I97" s="148">
        <v>361</v>
      </c>
      <c r="J97" s="147">
        <v>372</v>
      </c>
      <c r="K97" s="148">
        <v>355</v>
      </c>
      <c r="L97" s="147">
        <v>397</v>
      </c>
      <c r="M97" s="147">
        <v>387</v>
      </c>
    </row>
    <row r="98" spans="2:13" s="130" customFormat="1" x14ac:dyDescent="0.25">
      <c r="B98" s="134" t="s">
        <v>25</v>
      </c>
      <c r="C98" s="148"/>
      <c r="D98" s="148"/>
      <c r="E98" s="148"/>
      <c r="F98" s="148"/>
      <c r="G98" s="148"/>
      <c r="H98" s="148"/>
      <c r="I98" s="148"/>
      <c r="J98" s="147"/>
      <c r="K98" s="148"/>
      <c r="L98" s="147"/>
      <c r="M98" s="147"/>
    </row>
    <row r="99" spans="2:13" s="130" customFormat="1" x14ac:dyDescent="0.25">
      <c r="B99" s="134" t="s">
        <v>26</v>
      </c>
      <c r="C99" s="148"/>
      <c r="D99" s="148"/>
      <c r="E99" s="148"/>
      <c r="F99" s="148"/>
      <c r="G99" s="148"/>
      <c r="H99" s="148"/>
      <c r="I99" s="148"/>
      <c r="J99" s="147"/>
      <c r="K99" s="148"/>
      <c r="L99" s="147"/>
      <c r="M99" s="147"/>
    </row>
    <row r="100" spans="2:13" s="130" customFormat="1" x14ac:dyDescent="0.25">
      <c r="B100" s="134" t="s">
        <v>27</v>
      </c>
      <c r="C100" s="147">
        <v>2459</v>
      </c>
      <c r="D100" s="147">
        <v>2838</v>
      </c>
      <c r="E100" s="147">
        <v>2908</v>
      </c>
      <c r="F100" s="147">
        <v>2882</v>
      </c>
      <c r="G100" s="147">
        <v>2791</v>
      </c>
      <c r="H100" s="147">
        <v>2951</v>
      </c>
      <c r="I100" s="147">
        <v>3178</v>
      </c>
      <c r="J100" s="147">
        <v>3361</v>
      </c>
      <c r="K100" s="147">
        <v>3049</v>
      </c>
      <c r="L100" s="147">
        <v>2934</v>
      </c>
      <c r="M100" s="147">
        <v>2966</v>
      </c>
    </row>
    <row r="101" spans="2:13" s="130" customFormat="1" x14ac:dyDescent="0.25">
      <c r="B101" s="134" t="s">
        <v>28</v>
      </c>
      <c r="C101" s="148">
        <v>268</v>
      </c>
      <c r="D101" s="148">
        <v>360</v>
      </c>
      <c r="E101" s="148">
        <v>383</v>
      </c>
      <c r="F101" s="148">
        <v>383</v>
      </c>
      <c r="G101" s="148">
        <v>327</v>
      </c>
      <c r="H101" s="148">
        <v>322</v>
      </c>
      <c r="I101" s="148">
        <v>325</v>
      </c>
      <c r="J101" s="147">
        <v>331</v>
      </c>
      <c r="K101" s="148">
        <v>285</v>
      </c>
      <c r="L101" s="147">
        <v>265</v>
      </c>
      <c r="M101" s="147">
        <v>285</v>
      </c>
    </row>
    <row r="102" spans="2:13" s="130" customFormat="1" x14ac:dyDescent="0.25">
      <c r="B102" s="134" t="s">
        <v>19</v>
      </c>
      <c r="C102" s="148">
        <f>C90-C92-C93-C94-C95-C97-C100-C101</f>
        <v>139</v>
      </c>
      <c r="D102" s="148">
        <f>D90-D92-D93-D94-D95-D97-D100-D101</f>
        <v>138</v>
      </c>
      <c r="E102" s="148">
        <f>E90-E92-E93-E94-E95-E97-E100-E101</f>
        <v>113</v>
      </c>
      <c r="F102" s="148">
        <f>135+8+40+21</f>
        <v>204</v>
      </c>
      <c r="G102" s="148">
        <f>167+12+9+30</f>
        <v>218</v>
      </c>
      <c r="H102" s="148">
        <v>400</v>
      </c>
      <c r="I102" s="147">
        <f>I90-I93-I94-I97-I100-I101</f>
        <v>805</v>
      </c>
      <c r="J102" s="147">
        <v>799</v>
      </c>
      <c r="K102" s="147">
        <f>K90-K93-K94-K97-K100-K101</f>
        <v>611</v>
      </c>
      <c r="L102" s="147">
        <f>L90-L93-L94-L97-L100-L101</f>
        <v>237</v>
      </c>
      <c r="M102" s="147">
        <f>M90-M93-M94-M97-M100-M101</f>
        <v>431</v>
      </c>
    </row>
    <row r="103" spans="2:13" s="130" customFormat="1" x14ac:dyDescent="0.25">
      <c r="B103" s="133"/>
      <c r="C103" s="148"/>
      <c r="D103" s="148"/>
      <c r="E103" s="148"/>
      <c r="F103" s="148"/>
      <c r="G103" s="148"/>
      <c r="H103" s="148"/>
      <c r="I103" s="148"/>
      <c r="K103" s="148"/>
    </row>
    <row r="104" spans="2:13" s="130" customFormat="1" x14ac:dyDescent="0.25">
      <c r="B104" s="139" t="s">
        <v>17</v>
      </c>
      <c r="C104" s="148"/>
      <c r="D104" s="148"/>
      <c r="E104" s="148"/>
      <c r="F104" s="148"/>
      <c r="G104" s="148"/>
      <c r="H104" s="148"/>
      <c r="I104" s="148"/>
      <c r="K104" s="148"/>
    </row>
    <row r="105" spans="2:13" s="130" customFormat="1" x14ac:dyDescent="0.25">
      <c r="B105" s="140" t="s">
        <v>29</v>
      </c>
      <c r="C105" s="150">
        <f>C89/Folkmängd!C23*100000</f>
        <v>160.78651844054787</v>
      </c>
      <c r="D105" s="150">
        <f>D89/Folkmängd!D23*100000</f>
        <v>158.87904995713856</v>
      </c>
      <c r="E105" s="150">
        <f>E89/Folkmängd!E23*100000</f>
        <v>158.6904764686229</v>
      </c>
      <c r="F105" s="150">
        <f>F89/Folkmängd!F23*100000</f>
        <v>145.74341059022493</v>
      </c>
      <c r="G105" s="150">
        <f>G89/Folkmängd!G23*100000</f>
        <v>125.48531739154886</v>
      </c>
      <c r="H105" s="150">
        <f>H89/Folkmängd!H23*100000</f>
        <v>104.63770134847654</v>
      </c>
      <c r="I105" s="150">
        <f>I89/Folkmängd!I23*100000</f>
        <v>85.003717222469746</v>
      </c>
      <c r="J105" s="150">
        <f>J89/Folkmängd!J23*100000</f>
        <v>97.499249403437929</v>
      </c>
      <c r="K105" s="150">
        <f>K89/Folkmängd!K23*100000</f>
        <v>85.80078030143595</v>
      </c>
      <c r="L105" s="150">
        <f>L89/Folkmängd!L23*100000</f>
        <v>78.833707237634101</v>
      </c>
      <c r="M105" s="150">
        <f>M89/Folkmängd!M23*100000</f>
        <v>79.8650593060039</v>
      </c>
    </row>
    <row r="106" spans="2:13" s="130" customFormat="1" x14ac:dyDescent="0.25">
      <c r="B106" s="140" t="s">
        <v>30</v>
      </c>
      <c r="C106" s="150">
        <f>C89/Folkmängd!C24*100000</f>
        <v>131.49200165353443</v>
      </c>
      <c r="D106" s="150">
        <f>D89/Folkmängd!D24*100000</f>
        <v>130.20243516882761</v>
      </c>
      <c r="E106" s="150">
        <f>E89/Folkmängd!E24*100000</f>
        <v>130.26504679242461</v>
      </c>
      <c r="F106" s="150">
        <f>F89/Folkmängd!F24*100000</f>
        <v>119.75314535049903</v>
      </c>
      <c r="G106" s="150">
        <f>G89/Folkmängd!G24*100000</f>
        <v>103.23627889393099</v>
      </c>
      <c r="H106" s="150">
        <f>H89/Folkmängd!H24*100000</f>
        <v>86.276597102367546</v>
      </c>
      <c r="I106" s="150">
        <f>I89/Folkmängd!I24*100000</f>
        <v>70.273754652934841</v>
      </c>
      <c r="J106" s="150">
        <f>J89/Folkmängd!J24*100000</f>
        <v>80.83290162480067</v>
      </c>
      <c r="K106" s="150">
        <f>K89/Folkmängd!K24*100000</f>
        <v>71.314423060972089</v>
      </c>
      <c r="L106" s="150">
        <f>L89/Folkmängd!L24*100000</f>
        <v>65.676999605027092</v>
      </c>
      <c r="M106" s="150">
        <f>M89/Folkmängd!M24*100000</f>
        <v>66.754315112438221</v>
      </c>
    </row>
    <row r="107" spans="2:13" s="130" customFormat="1" x14ac:dyDescent="0.25">
      <c r="B107" s="139"/>
      <c r="C107" s="150"/>
      <c r="D107" s="150"/>
      <c r="E107" s="150"/>
      <c r="F107" s="150"/>
      <c r="G107" s="150"/>
      <c r="H107" s="150"/>
      <c r="I107" s="150"/>
      <c r="J107" s="150"/>
      <c r="K107" s="150"/>
      <c r="L107" s="150"/>
      <c r="M107" s="150"/>
    </row>
    <row r="108" spans="2:13" s="130" customFormat="1" x14ac:dyDescent="0.25">
      <c r="B108" s="139" t="s">
        <v>18</v>
      </c>
      <c r="C108" s="150"/>
      <c r="D108" s="150"/>
      <c r="E108" s="150"/>
      <c r="F108" s="150"/>
      <c r="G108" s="150"/>
      <c r="H108" s="150"/>
      <c r="I108" s="150"/>
      <c r="J108" s="150"/>
      <c r="K108" s="150"/>
      <c r="L108" s="150"/>
      <c r="M108" s="150"/>
    </row>
    <row r="109" spans="2:13" s="130" customFormat="1" x14ac:dyDescent="0.25">
      <c r="B109" s="140" t="s">
        <v>29</v>
      </c>
      <c r="C109" s="150">
        <f>C90/Folkmängd!C23*100000</f>
        <v>153.39100873555694</v>
      </c>
      <c r="D109" s="150">
        <f>D90/Folkmängd!D23*100000</f>
        <v>155.02872507711871</v>
      </c>
      <c r="E109" s="150">
        <f>E90/Folkmängd!E23*100000</f>
        <v>152.82603159323651</v>
      </c>
      <c r="F109" s="150">
        <f>F90/Folkmängd!F23*100000</f>
        <v>153.79783442465376</v>
      </c>
      <c r="G109" s="150">
        <f>G90/Folkmängd!G23*100000</f>
        <v>141.80506508962662</v>
      </c>
      <c r="H109" s="150">
        <f>H90/Folkmängd!H23*100000</f>
        <v>147.47610768692181</v>
      </c>
      <c r="I109" s="150">
        <f>I90/Folkmängd!I23*100000</f>
        <v>154.00726497835583</v>
      </c>
      <c r="J109" s="150">
        <f>J90/Folkmängd!J23*100000</f>
        <v>169.04642691426733</v>
      </c>
      <c r="K109" s="150">
        <f>K90/Folkmängd!K23*100000</f>
        <v>146.54214428324858</v>
      </c>
      <c r="L109" s="150">
        <f>L90/Folkmängd!L23*100000</f>
        <v>129.47971721332357</v>
      </c>
      <c r="M109" s="150">
        <f>M90/Folkmängd!M23*100000</f>
        <v>128.36610746754471</v>
      </c>
    </row>
    <row r="110" spans="2:13" s="130" customFormat="1" x14ac:dyDescent="0.25">
      <c r="B110" s="140" t="s">
        <v>30</v>
      </c>
      <c r="C110" s="150">
        <f>C90/Folkmängd!C24*100000</f>
        <v>125.44391762392114</v>
      </c>
      <c r="D110" s="150">
        <f>D90/Folkmängd!D24*100000</f>
        <v>127.0470683932524</v>
      </c>
      <c r="E110" s="150">
        <f>E90/Folkmängd!E24*100000</f>
        <v>125.45107053434177</v>
      </c>
      <c r="F110" s="150">
        <f>F90/Folkmängd!F24*100000</f>
        <v>126.37123246848755</v>
      </c>
      <c r="G110" s="150">
        <f>G90/Folkmängd!G24*100000</f>
        <v>116.66247137492331</v>
      </c>
      <c r="H110" s="150">
        <f>H90/Folkmängd!H24*100000</f>
        <v>121.59801449341731</v>
      </c>
      <c r="I110" s="150">
        <f>I90/Folkmängd!I24*100000</f>
        <v>127.31994679166404</v>
      </c>
      <c r="J110" s="150">
        <f>J90/Folkmängd!J24*100000</f>
        <v>140.14993223428039</v>
      </c>
      <c r="K110" s="150">
        <f>K90/Folkmängd!K24*100000</f>
        <v>121.80038965802623</v>
      </c>
      <c r="L110" s="150">
        <f>L90/Folkmängd!L24*100000</f>
        <v>107.87060046085031</v>
      </c>
      <c r="M110" s="150">
        <f>M90/Folkmängd!M24*100000</f>
        <v>107.29337287302823</v>
      </c>
    </row>
    <row r="115" spans="2:13" s="130" customFormat="1" ht="18.75" x14ac:dyDescent="0.3">
      <c r="B115" s="131" t="s">
        <v>34</v>
      </c>
      <c r="C115" s="132">
        <v>2014</v>
      </c>
      <c r="D115" s="132">
        <v>2015</v>
      </c>
      <c r="E115" s="132">
        <v>2016</v>
      </c>
      <c r="F115" s="132">
        <v>2017</v>
      </c>
      <c r="G115" s="132">
        <v>2018</v>
      </c>
      <c r="H115" s="132">
        <v>2019</v>
      </c>
      <c r="I115" s="132">
        <v>2020</v>
      </c>
      <c r="J115" s="132">
        <v>2021</v>
      </c>
      <c r="K115" s="132">
        <v>2022</v>
      </c>
      <c r="L115" s="132">
        <v>2023</v>
      </c>
      <c r="M115" s="132">
        <v>2024</v>
      </c>
    </row>
    <row r="116" spans="2:13" s="130" customFormat="1" x14ac:dyDescent="0.25">
      <c r="B116" s="133" t="s">
        <v>14</v>
      </c>
      <c r="C116" s="153">
        <v>8943</v>
      </c>
      <c r="D116" s="153">
        <v>8581</v>
      </c>
      <c r="E116" s="153">
        <v>8495</v>
      </c>
      <c r="F116" s="153">
        <v>8423</v>
      </c>
      <c r="G116" s="153">
        <v>8930</v>
      </c>
      <c r="H116" s="153">
        <v>9172</v>
      </c>
      <c r="I116" s="153">
        <v>8964</v>
      </c>
      <c r="J116" s="153">
        <v>9481</v>
      </c>
      <c r="K116" s="153">
        <v>10298</v>
      </c>
      <c r="L116" s="153">
        <v>10647</v>
      </c>
      <c r="M116" s="153">
        <v>11812</v>
      </c>
    </row>
    <row r="117" spans="2:13" s="130" customFormat="1" x14ac:dyDescent="0.25">
      <c r="B117" s="133" t="s">
        <v>15</v>
      </c>
      <c r="C117" s="147">
        <f>SUM(C119:C128)</f>
        <v>16686</v>
      </c>
      <c r="D117" s="147">
        <f>SUM(D119:D128)</f>
        <v>16288</v>
      </c>
      <c r="E117" s="147">
        <f>SUM(E119:E128)</f>
        <v>15166</v>
      </c>
      <c r="F117" s="147">
        <f>SUM(F119:F128)</f>
        <v>14740</v>
      </c>
      <c r="G117" s="147">
        <f t="shared" ref="G117:L117" si="3">SUM(G119:G129)</f>
        <v>15402</v>
      </c>
      <c r="H117" s="147">
        <f t="shared" si="3"/>
        <v>15056</v>
      </c>
      <c r="I117" s="147">
        <f t="shared" si="3"/>
        <v>16126</v>
      </c>
      <c r="J117" s="147">
        <f t="shared" si="3"/>
        <v>17491</v>
      </c>
      <c r="K117" s="147">
        <f t="shared" si="3"/>
        <v>17256</v>
      </c>
      <c r="L117" s="147">
        <f t="shared" si="3"/>
        <v>18611</v>
      </c>
      <c r="M117" s="147">
        <f t="shared" ref="M117" si="4">SUM(M119:M129)</f>
        <v>20300</v>
      </c>
    </row>
    <row r="118" spans="2:13" s="130" customFormat="1" x14ac:dyDescent="0.25">
      <c r="B118" s="133" t="s">
        <v>16</v>
      </c>
      <c r="C118" s="148"/>
      <c r="D118" s="148"/>
      <c r="E118" s="148"/>
      <c r="F118" s="148"/>
      <c r="G118" s="148"/>
      <c r="H118" s="148"/>
      <c r="I118" s="148"/>
      <c r="J118" s="148"/>
      <c r="K118" s="148"/>
      <c r="L118" s="148"/>
      <c r="M118" s="148"/>
    </row>
    <row r="119" spans="2:13" s="130" customFormat="1" x14ac:dyDescent="0.25">
      <c r="B119" s="134" t="s">
        <v>250</v>
      </c>
      <c r="C119" s="147">
        <f>3844+1219+102</f>
        <v>5165</v>
      </c>
      <c r="D119" s="147">
        <f>3797+1097+66</f>
        <v>4960</v>
      </c>
      <c r="E119" s="147">
        <f>3362+1044+70</f>
        <v>4476</v>
      </c>
      <c r="F119" s="147">
        <f>3199+1142+9</f>
        <v>4350</v>
      </c>
      <c r="G119" s="147">
        <f>3127+1143+1</f>
        <v>4271</v>
      </c>
      <c r="H119" s="147">
        <f>2978+1088+0</f>
        <v>4066</v>
      </c>
      <c r="I119" s="147">
        <f>2645+1121+0</f>
        <v>3766</v>
      </c>
      <c r="J119" s="147">
        <v>4177</v>
      </c>
      <c r="K119" s="147">
        <f>2841+1212+1</f>
        <v>4054</v>
      </c>
      <c r="L119" s="147">
        <f>3200+1296+0</f>
        <v>4496</v>
      </c>
      <c r="M119" s="147">
        <f>3246+1478+0</f>
        <v>4724</v>
      </c>
    </row>
    <row r="120" spans="2:13" s="130" customFormat="1" x14ac:dyDescent="0.25">
      <c r="B120" s="134" t="s">
        <v>21</v>
      </c>
      <c r="C120" s="148"/>
      <c r="D120" s="148"/>
      <c r="E120" s="148"/>
      <c r="F120" s="148"/>
      <c r="G120" s="148"/>
      <c r="H120" s="148"/>
      <c r="I120" s="148"/>
      <c r="J120" s="148"/>
      <c r="K120" s="148"/>
      <c r="L120" s="148"/>
      <c r="M120" s="148"/>
    </row>
    <row r="121" spans="2:13" s="130" customFormat="1" x14ac:dyDescent="0.25">
      <c r="B121" s="134" t="s">
        <v>22</v>
      </c>
      <c r="C121" s="153">
        <v>4029</v>
      </c>
      <c r="D121" s="153">
        <v>3976</v>
      </c>
      <c r="E121" s="153">
        <v>3637</v>
      </c>
      <c r="F121" s="153">
        <v>3251</v>
      </c>
      <c r="G121" s="153">
        <v>3424</v>
      </c>
      <c r="H121" s="153">
        <v>3681</v>
      </c>
      <c r="I121" s="153">
        <v>5274</v>
      </c>
      <c r="J121" s="153">
        <v>5758</v>
      </c>
      <c r="K121" s="153">
        <v>6110</v>
      </c>
      <c r="L121" s="153">
        <v>6438</v>
      </c>
      <c r="M121" s="153">
        <v>7363</v>
      </c>
    </row>
    <row r="122" spans="2:13" s="130" customFormat="1" x14ac:dyDescent="0.25">
      <c r="B122" s="134" t="s">
        <v>23</v>
      </c>
      <c r="C122" s="148"/>
      <c r="D122" s="148"/>
      <c r="E122" s="148"/>
      <c r="F122" s="148"/>
      <c r="G122" s="148"/>
      <c r="H122" s="148"/>
      <c r="I122" s="148"/>
      <c r="J122" s="148"/>
      <c r="K122" s="148"/>
      <c r="L122" s="148"/>
      <c r="M122" s="148"/>
    </row>
    <row r="123" spans="2:13" s="130" customFormat="1" x14ac:dyDescent="0.25">
      <c r="B123" s="134" t="s">
        <v>24</v>
      </c>
      <c r="C123" s="148"/>
      <c r="D123" s="148"/>
      <c r="E123" s="148"/>
      <c r="F123" s="148"/>
      <c r="G123" s="148"/>
      <c r="H123" s="148"/>
      <c r="I123" s="148"/>
      <c r="J123" s="148"/>
      <c r="K123" s="148"/>
      <c r="L123" s="148"/>
      <c r="M123" s="148"/>
    </row>
    <row r="124" spans="2:13" s="130" customFormat="1" ht="26.25" x14ac:dyDescent="0.25">
      <c r="B124" s="135" t="s">
        <v>382</v>
      </c>
      <c r="C124" s="148"/>
      <c r="D124" s="148"/>
      <c r="E124" s="148"/>
      <c r="F124" s="148"/>
      <c r="G124" s="148"/>
      <c r="H124" s="148"/>
      <c r="I124" s="148"/>
      <c r="J124" s="148"/>
      <c r="K124" s="148"/>
      <c r="L124" s="148"/>
      <c r="M124" s="148"/>
    </row>
    <row r="125" spans="2:13" s="130" customFormat="1" x14ac:dyDescent="0.25">
      <c r="B125" s="134" t="s">
        <v>25</v>
      </c>
      <c r="C125" s="148">
        <f>856+59</f>
        <v>915</v>
      </c>
      <c r="D125" s="148">
        <f>745+67</f>
        <v>812</v>
      </c>
      <c r="E125" s="148">
        <f>675+28</f>
        <v>703</v>
      </c>
      <c r="F125" s="148">
        <f>724+2</f>
        <v>726</v>
      </c>
      <c r="G125" s="148">
        <f>727+1</f>
        <v>728</v>
      </c>
      <c r="H125" s="148">
        <f>635+1</f>
        <v>636</v>
      </c>
      <c r="I125" s="148">
        <f>642+0</f>
        <v>642</v>
      </c>
      <c r="J125" s="148">
        <v>555</v>
      </c>
      <c r="K125" s="148">
        <f>476+1</f>
        <v>477</v>
      </c>
      <c r="L125" s="148">
        <f>560+0</f>
        <v>560</v>
      </c>
      <c r="M125" s="148">
        <v>596</v>
      </c>
    </row>
    <row r="126" spans="2:13" s="130" customFormat="1" x14ac:dyDescent="0.25">
      <c r="B126" s="134" t="s">
        <v>26</v>
      </c>
      <c r="C126" s="147">
        <f>6405-1219-102-856-59</f>
        <v>4169</v>
      </c>
      <c r="D126" s="147">
        <f>6091-1097-66-745-67</f>
        <v>4116</v>
      </c>
      <c r="E126" s="147">
        <f>5801-1044-70-675-28</f>
        <v>3984</v>
      </c>
      <c r="F126" s="147">
        <f>6110-1142-9-724-2</f>
        <v>4233</v>
      </c>
      <c r="G126" s="147">
        <f>6275-1143-1-227-1</f>
        <v>4903</v>
      </c>
      <c r="H126" s="147">
        <f>6220-1088-0-635-1</f>
        <v>4496</v>
      </c>
      <c r="I126" s="147">
        <f>5983-1121-0-642-0</f>
        <v>4220</v>
      </c>
      <c r="J126" s="147">
        <v>4561</v>
      </c>
      <c r="K126" s="147">
        <f>5960-1212-1-476-1</f>
        <v>4270</v>
      </c>
      <c r="L126" s="147">
        <f>6307-1296-0-560-0</f>
        <v>4451</v>
      </c>
      <c r="M126" s="147">
        <f>6689-1478-0-596-0</f>
        <v>4615</v>
      </c>
    </row>
    <row r="127" spans="2:13" s="130" customFormat="1" x14ac:dyDescent="0.25">
      <c r="B127" s="134" t="s">
        <v>27</v>
      </c>
      <c r="C127" s="154">
        <v>1877</v>
      </c>
      <c r="D127" s="154">
        <v>1827</v>
      </c>
      <c r="E127" s="154">
        <v>1817</v>
      </c>
      <c r="F127" s="154">
        <v>1642</v>
      </c>
      <c r="G127" s="154">
        <v>1563</v>
      </c>
      <c r="H127" s="154">
        <v>1609</v>
      </c>
      <c r="I127" s="154">
        <v>1622</v>
      </c>
      <c r="J127" s="154">
        <v>1778</v>
      </c>
      <c r="K127" s="154">
        <v>1614</v>
      </c>
      <c r="L127" s="154">
        <v>1820</v>
      </c>
      <c r="M127" s="154">
        <v>1830</v>
      </c>
    </row>
    <row r="128" spans="2:13" s="130" customFormat="1" x14ac:dyDescent="0.25">
      <c r="B128" s="134" t="s">
        <v>28</v>
      </c>
      <c r="C128" s="148">
        <v>531</v>
      </c>
      <c r="D128" s="148">
        <v>597</v>
      </c>
      <c r="E128" s="148">
        <v>549</v>
      </c>
      <c r="F128" s="148">
        <v>538</v>
      </c>
      <c r="G128" s="148">
        <v>513</v>
      </c>
      <c r="H128" s="148">
        <v>568</v>
      </c>
      <c r="I128" s="148">
        <v>602</v>
      </c>
      <c r="J128" s="148">
        <v>624</v>
      </c>
      <c r="K128" s="148">
        <v>659</v>
      </c>
      <c r="L128" s="148">
        <v>701</v>
      </c>
      <c r="M128" s="148">
        <v>959</v>
      </c>
    </row>
    <row r="129" spans="2:13" s="130" customFormat="1" x14ac:dyDescent="0.25">
      <c r="B129" s="134" t="s">
        <v>249</v>
      </c>
      <c r="C129" s="148"/>
      <c r="D129" s="148"/>
      <c r="E129" s="148"/>
      <c r="F129" s="148"/>
      <c r="G129" s="148"/>
      <c r="H129" s="148"/>
      <c r="I129" s="148"/>
      <c r="J129" s="148">
        <v>38</v>
      </c>
      <c r="K129" s="148">
        <v>72</v>
      </c>
      <c r="L129" s="148">
        <v>145</v>
      </c>
      <c r="M129" s="148">
        <v>213</v>
      </c>
    </row>
    <row r="130" spans="2:13" s="130" customFormat="1" x14ac:dyDescent="0.25">
      <c r="B130" s="133"/>
      <c r="C130" s="148"/>
      <c r="D130" s="148"/>
      <c r="E130" s="148"/>
      <c r="F130" s="148"/>
      <c r="G130" s="148"/>
      <c r="H130" s="148"/>
      <c r="I130" s="148"/>
      <c r="J130" s="148"/>
      <c r="K130" s="148"/>
      <c r="L130" s="148"/>
      <c r="M130" s="148"/>
    </row>
    <row r="131" spans="2:13" s="130" customFormat="1" x14ac:dyDescent="0.25">
      <c r="B131" s="139" t="s">
        <v>17</v>
      </c>
      <c r="C131" s="148"/>
      <c r="D131" s="148"/>
      <c r="E131" s="148"/>
      <c r="F131" s="148"/>
      <c r="G131" s="148"/>
      <c r="H131" s="148"/>
      <c r="I131" s="148"/>
      <c r="J131" s="148"/>
      <c r="K131" s="148"/>
      <c r="L131" s="148"/>
      <c r="M131" s="148"/>
    </row>
    <row r="132" spans="2:13" s="130" customFormat="1" x14ac:dyDescent="0.25">
      <c r="B132" s="140" t="s">
        <v>29</v>
      </c>
      <c r="C132" s="82">
        <f>C116/Folkmängd!C29*100000</f>
        <v>110.88211977153549</v>
      </c>
      <c r="D132" s="82">
        <f>D116/Folkmängd!D29*100000</f>
        <v>105.49708539866737</v>
      </c>
      <c r="E132" s="82">
        <f>E116/Folkmängd!E29*100000</f>
        <v>103.16779163482268</v>
      </c>
      <c r="F132" s="82">
        <f>F116/Folkmängd!F29*100000</f>
        <v>101.17031096388052</v>
      </c>
      <c r="G132" s="82">
        <f>G116/Folkmängd!G29*100000</f>
        <v>106.17735827879011</v>
      </c>
      <c r="H132" s="82">
        <f>H116/Folkmängd!H29*100000</f>
        <v>107.9977693962675</v>
      </c>
      <c r="I132" s="82">
        <f>I116/Folkmängd!I29*100000</f>
        <v>104.94647483924656</v>
      </c>
      <c r="J132" s="82">
        <f>J116/Folkmängd!J29*100000</f>
        <v>110.07493942743616</v>
      </c>
      <c r="K132" s="82">
        <f>K116/Folkmängd!K29*100000</f>
        <v>118.47044962975397</v>
      </c>
      <c r="L132" s="82">
        <f>L116/Folkmängd!L29*100000</f>
        <v>121.7060659620129</v>
      </c>
      <c r="M132" s="82">
        <f>M116/Folkmängd!M29*100000</f>
        <v>134.08645147902624</v>
      </c>
    </row>
    <row r="133" spans="2:13" s="130" customFormat="1" x14ac:dyDescent="0.25">
      <c r="B133" s="140" t="s">
        <v>30</v>
      </c>
      <c r="C133" s="82">
        <f>C116/Folkmängd!C30*100000</f>
        <v>91.747966499629911</v>
      </c>
      <c r="D133" s="82">
        <f>D116/Folkmängd!D30*100000</f>
        <v>87.107757503616114</v>
      </c>
      <c r="E133" s="82">
        <f>E116/Folkmängd!E30*100000</f>
        <v>84.991195232329119</v>
      </c>
      <c r="F133" s="82">
        <f>F116/Folkmängd!F30*100000</f>
        <v>83.229235032126695</v>
      </c>
      <c r="G133" s="82">
        <f>G116/Folkmängd!G30*100000</f>
        <v>87.290699044054435</v>
      </c>
      <c r="H133" s="82">
        <f>H116/Folkmängd!H30*100000</f>
        <v>88.810660455213707</v>
      </c>
      <c r="I133" s="82">
        <f>I116/Folkmängd!I30*100000</f>
        <v>86.364247282691167</v>
      </c>
      <c r="J133" s="82">
        <f>J116/Folkmängd!J30*100000</f>
        <v>90.707082806257674</v>
      </c>
      <c r="K133" s="82">
        <f>K116/Folkmängd!K30*100000</f>
        <v>97.875257233815972</v>
      </c>
      <c r="L133" s="82">
        <f>L116/Folkmängd!L30*100000</f>
        <v>100.90310506157914</v>
      </c>
      <c r="M133" s="82">
        <f>M116/Folkmängd!M30*100000</f>
        <v>111.563312557673</v>
      </c>
    </row>
    <row r="134" spans="2:13" s="130" customFormat="1" x14ac:dyDescent="0.25">
      <c r="B134" s="139"/>
      <c r="C134" s="148"/>
      <c r="D134" s="148"/>
      <c r="E134" s="148"/>
      <c r="F134" s="148"/>
      <c r="G134" s="148"/>
      <c r="H134" s="148"/>
      <c r="I134" s="148"/>
      <c r="J134" s="148"/>
      <c r="K134" s="148"/>
      <c r="L134" s="148"/>
      <c r="M134" s="148"/>
    </row>
    <row r="135" spans="2:13" s="130" customFormat="1" x14ac:dyDescent="0.25">
      <c r="B135" s="139" t="s">
        <v>18</v>
      </c>
      <c r="C135" s="148"/>
      <c r="D135" s="148"/>
      <c r="E135" s="148"/>
      <c r="F135" s="148"/>
      <c r="G135" s="148"/>
      <c r="H135" s="148"/>
      <c r="I135" s="148"/>
      <c r="J135" s="148"/>
      <c r="K135" s="148"/>
      <c r="L135" s="148"/>
      <c r="M135" s="148"/>
    </row>
    <row r="136" spans="2:13" s="130" customFormat="1" x14ac:dyDescent="0.25">
      <c r="B136" s="140" t="s">
        <v>29</v>
      </c>
      <c r="C136" s="82">
        <f>C117/Folkmängd!C29*100000</f>
        <v>206.88572632313998</v>
      </c>
      <c r="D136" s="82">
        <f>D117/Folkmängd!D29*100000</f>
        <v>200.24898344872321</v>
      </c>
      <c r="E136" s="82">
        <f>E117/Folkmängd!E29*100000</f>
        <v>184.18395855605897</v>
      </c>
      <c r="F136" s="82">
        <f>F117/Folkmängd!F29*100000</f>
        <v>177.04504138758151</v>
      </c>
      <c r="G136" s="82">
        <f>G117/Folkmängd!G29*100000</f>
        <v>183.12919061701294</v>
      </c>
      <c r="H136" s="82">
        <f>H117/Folkmängd!H29*100000</f>
        <v>177.28024596927645</v>
      </c>
      <c r="I136" s="82">
        <f>I117/Folkmängd!I29*100000</f>
        <v>188.79594525409306</v>
      </c>
      <c r="J136" s="82">
        <f>J117/Folkmängd!J29*100000</f>
        <v>203.07148671292967</v>
      </c>
      <c r="K136" s="82">
        <f>K117/Folkmängd!K29*100000</f>
        <v>198.51680703156285</v>
      </c>
      <c r="L136" s="82">
        <f>L117/Folkmängd!L29*100000</f>
        <v>212.74270626646208</v>
      </c>
      <c r="M136" s="82">
        <f>M117/Folkmängd!M29*100000</f>
        <v>230.43980401491979</v>
      </c>
    </row>
    <row r="137" spans="2:13" s="130" customFormat="1" x14ac:dyDescent="0.25">
      <c r="B137" s="140" t="s">
        <v>30</v>
      </c>
      <c r="C137" s="82">
        <f>C117/Folkmängd!C30*100000</f>
        <v>171.18490092953422</v>
      </c>
      <c r="D137" s="82">
        <f>D117/Folkmängd!D30*100000</f>
        <v>165.3433346018995</v>
      </c>
      <c r="E137" s="82">
        <f>E117/Folkmängd!E30*100000</f>
        <v>151.73354524938239</v>
      </c>
      <c r="F137" s="82">
        <f>F117/Folkmängd!F30*100000</f>
        <v>145.64869100956281</v>
      </c>
      <c r="G137" s="82">
        <f>G117/Folkmängd!G30*100000</f>
        <v>150.55446211383273</v>
      </c>
      <c r="H137" s="82">
        <f>H117/Folkmängd!H30*100000</f>
        <v>145.78426775116631</v>
      </c>
      <c r="I137" s="82">
        <f>I117/Folkmängd!I30*100000</f>
        <v>155.36700710404705</v>
      </c>
      <c r="J137" s="82">
        <f>J117/Folkmängd!J30*100000</f>
        <v>167.34074310349678</v>
      </c>
      <c r="K137" s="82">
        <f>K117/Folkmängd!K30*100000</f>
        <v>164.00616030556699</v>
      </c>
      <c r="L137" s="82">
        <f>L117/Folkmängd!L30*100000</f>
        <v>176.37904464178166</v>
      </c>
      <c r="M137" s="82">
        <f>M117/Folkmängd!M30*100000</f>
        <v>191.73173424659345</v>
      </c>
    </row>
    <row r="139" spans="2:13" s="130" customFormat="1" x14ac:dyDescent="0.25">
      <c r="B139" s="145" t="s">
        <v>240</v>
      </c>
    </row>
    <row r="140" spans="2:13" s="130" customFormat="1" x14ac:dyDescent="0.25">
      <c r="B140" s="145" t="s">
        <v>307</v>
      </c>
    </row>
    <row r="141" spans="2:13" s="130" customFormat="1" x14ac:dyDescent="0.25">
      <c r="B141" s="155" t="s">
        <v>308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S132"/>
  <sheetViews>
    <sheetView zoomScaleNormal="100" workbookViewId="0">
      <pane ySplit="3" topLeftCell="A4" activePane="bottomLeft" state="frozen"/>
      <selection pane="bottomLeft" activeCell="B1" sqref="B1"/>
    </sheetView>
  </sheetViews>
  <sheetFormatPr defaultColWidth="9" defaultRowHeight="15" x14ac:dyDescent="0.25"/>
  <cols>
    <col min="1" max="1" width="1.625" style="1" customWidth="1"/>
    <col min="2" max="2" width="44" style="1" customWidth="1"/>
    <col min="3" max="10" width="10" style="1" customWidth="1"/>
    <col min="11" max="13" width="9" style="1"/>
    <col min="14" max="19" width="9.25" style="1" bestFit="1" customWidth="1"/>
    <col min="20" max="16384" width="9" style="1"/>
  </cols>
  <sheetData>
    <row r="2" spans="2:13" ht="18.75" x14ac:dyDescent="0.3">
      <c r="B2" s="4" t="s">
        <v>6</v>
      </c>
      <c r="G2" s="91"/>
    </row>
    <row r="3" spans="2:13" ht="18.75" x14ac:dyDescent="0.3">
      <c r="B3" s="4"/>
    </row>
    <row r="4" spans="2:13" ht="18.75" x14ac:dyDescent="0.3">
      <c r="B4" s="15" t="s">
        <v>387</v>
      </c>
      <c r="C4" s="16">
        <v>2014</v>
      </c>
      <c r="D4" s="16">
        <v>2015</v>
      </c>
      <c r="E4" s="16">
        <v>2016</v>
      </c>
      <c r="F4" s="16">
        <v>2017</v>
      </c>
      <c r="G4" s="16">
        <v>2018</v>
      </c>
      <c r="H4" s="16">
        <v>2019</v>
      </c>
      <c r="I4" s="16">
        <v>2020</v>
      </c>
      <c r="J4" s="16">
        <v>2021</v>
      </c>
      <c r="K4" s="16">
        <v>2022</v>
      </c>
      <c r="L4" s="16">
        <v>2023</v>
      </c>
      <c r="M4" s="16">
        <v>2024</v>
      </c>
    </row>
    <row r="5" spans="2:13" x14ac:dyDescent="0.25">
      <c r="B5" s="2" t="s">
        <v>229</v>
      </c>
      <c r="C5" s="20">
        <v>3949.4</v>
      </c>
      <c r="D5" s="20">
        <v>3580.6</v>
      </c>
      <c r="E5" s="20">
        <v>3535.7</v>
      </c>
      <c r="F5" s="20">
        <v>3598.5</v>
      </c>
      <c r="G5" s="10">
        <v>3887</v>
      </c>
      <c r="H5" s="10">
        <v>4149</v>
      </c>
      <c r="I5" s="10">
        <v>4267.3</v>
      </c>
      <c r="J5" s="119">
        <v>4339</v>
      </c>
      <c r="K5" s="109">
        <v>4387.9067123286695</v>
      </c>
      <c r="L5" s="158">
        <v>4400</v>
      </c>
      <c r="M5" s="158">
        <v>4379.768</v>
      </c>
    </row>
    <row r="6" spans="2:13" x14ac:dyDescent="0.25">
      <c r="B6" s="2" t="s">
        <v>16</v>
      </c>
      <c r="C6" s="10"/>
      <c r="D6" s="10"/>
      <c r="E6" s="10"/>
      <c r="F6" s="10"/>
      <c r="G6" s="10"/>
      <c r="H6" s="10"/>
      <c r="I6" s="10"/>
      <c r="J6" s="10"/>
      <c r="K6" s="10"/>
      <c r="L6" s="10"/>
      <c r="M6" s="10"/>
    </row>
    <row r="7" spans="2:13" x14ac:dyDescent="0.25">
      <c r="B7" s="11" t="s">
        <v>41</v>
      </c>
      <c r="C7" s="20">
        <v>1453.5</v>
      </c>
      <c r="D7" s="20">
        <v>1258</v>
      </c>
      <c r="E7" s="20">
        <v>1224</v>
      </c>
      <c r="F7" s="20">
        <v>1259.0999999999999</v>
      </c>
      <c r="G7" s="20">
        <v>1426.1</v>
      </c>
      <c r="H7" s="20">
        <v>1496.4</v>
      </c>
      <c r="I7" s="20">
        <v>1635.1</v>
      </c>
      <c r="J7" s="109">
        <v>1587.5</v>
      </c>
      <c r="K7" s="110">
        <v>1622.5</v>
      </c>
      <c r="L7" s="109">
        <v>1595.4</v>
      </c>
      <c r="M7" s="109">
        <v>1349</v>
      </c>
    </row>
    <row r="8" spans="2:13" x14ac:dyDescent="0.25">
      <c r="B8" s="13" t="s">
        <v>42</v>
      </c>
      <c r="C8" s="111">
        <f>(C7/C5)*100</f>
        <v>36.803058692459615</v>
      </c>
      <c r="D8" s="111">
        <f t="shared" ref="D8:K8" si="0">(D7/D5)*100</f>
        <v>35.133776462045468</v>
      </c>
      <c r="E8" s="111">
        <f t="shared" si="0"/>
        <v>34.618321690188644</v>
      </c>
      <c r="F8" s="111">
        <f t="shared" si="0"/>
        <v>34.989578991246347</v>
      </c>
      <c r="G8" s="111">
        <f t="shared" si="0"/>
        <v>36.68896321070234</v>
      </c>
      <c r="H8" s="111">
        <f t="shared" si="0"/>
        <v>36.066522053506873</v>
      </c>
      <c r="I8" s="111">
        <f t="shared" si="0"/>
        <v>38.316968574977153</v>
      </c>
      <c r="J8" s="111">
        <f t="shared" si="0"/>
        <v>36.58677114542521</v>
      </c>
      <c r="K8" s="111">
        <f t="shared" si="0"/>
        <v>36.976629321705353</v>
      </c>
      <c r="L8" s="111">
        <f>(L7/L5)*100</f>
        <v>36.259090909090915</v>
      </c>
      <c r="M8" s="111">
        <f>(M7/M5)*100</f>
        <v>30.800718211558237</v>
      </c>
    </row>
    <row r="9" spans="2:13" x14ac:dyDescent="0.25">
      <c r="B9" s="11" t="s">
        <v>45</v>
      </c>
      <c r="C9" s="20">
        <v>2429</v>
      </c>
      <c r="D9" s="20">
        <v>2249.5</v>
      </c>
      <c r="E9" s="20">
        <v>2213.1</v>
      </c>
      <c r="F9" s="20">
        <v>2232.1999999999998</v>
      </c>
      <c r="G9" s="20">
        <v>2358.9</v>
      </c>
      <c r="H9" s="20">
        <v>2556</v>
      </c>
      <c r="I9" s="20">
        <v>2532.0000000000005</v>
      </c>
      <c r="J9" s="119">
        <v>2648.4</v>
      </c>
      <c r="K9" s="110">
        <v>2662.9067123286691</v>
      </c>
      <c r="L9" s="158">
        <v>2702</v>
      </c>
      <c r="M9" s="158">
        <v>2917.768</v>
      </c>
    </row>
    <row r="10" spans="2:13" x14ac:dyDescent="0.25">
      <c r="B10" s="13" t="s">
        <v>42</v>
      </c>
      <c r="C10" s="111">
        <f>(C9/C5)*100</f>
        <v>61.503013115916339</v>
      </c>
      <c r="D10" s="111">
        <f t="shared" ref="D10:L10" si="1">(D9/D5)*100</f>
        <v>62.824666257051895</v>
      </c>
      <c r="E10" s="111">
        <f t="shared" si="1"/>
        <v>62.592980173657267</v>
      </c>
      <c r="F10" s="111">
        <f t="shared" si="1"/>
        <v>62.031401973044318</v>
      </c>
      <c r="G10" s="111">
        <f t="shared" si="1"/>
        <v>60.686905068175975</v>
      </c>
      <c r="H10" s="111">
        <f t="shared" si="1"/>
        <v>61.605206073752719</v>
      </c>
      <c r="I10" s="111">
        <f t="shared" si="1"/>
        <v>59.334942469477191</v>
      </c>
      <c r="J10" s="111">
        <f t="shared" si="1"/>
        <v>61.037105323807324</v>
      </c>
      <c r="K10" s="111">
        <f t="shared" si="1"/>
        <v>60.687404881391835</v>
      </c>
      <c r="L10" s="111">
        <f t="shared" si="1"/>
        <v>61.409090909090914</v>
      </c>
      <c r="M10" s="111">
        <f>(M9/M5)*100</f>
        <v>66.619236452707085</v>
      </c>
    </row>
    <row r="11" spans="2:13" x14ac:dyDescent="0.25">
      <c r="B11" s="11" t="s">
        <v>43</v>
      </c>
      <c r="C11" s="20">
        <v>0.4</v>
      </c>
      <c r="D11" s="20">
        <v>0.2</v>
      </c>
      <c r="E11" s="20">
        <v>0.4</v>
      </c>
      <c r="F11" s="20">
        <v>0.1</v>
      </c>
      <c r="G11" s="23">
        <v>0</v>
      </c>
      <c r="H11" s="34">
        <v>0</v>
      </c>
      <c r="I11" s="23">
        <v>0</v>
      </c>
      <c r="J11" s="109">
        <v>0.1</v>
      </c>
      <c r="K11" s="112">
        <v>0</v>
      </c>
      <c r="L11" s="109">
        <v>0</v>
      </c>
      <c r="M11" s="109">
        <v>0</v>
      </c>
    </row>
    <row r="12" spans="2:13" x14ac:dyDescent="0.25">
      <c r="B12" s="11" t="s">
        <v>44</v>
      </c>
      <c r="C12" s="20">
        <v>43.2</v>
      </c>
      <c r="D12" s="20">
        <v>48.8</v>
      </c>
      <c r="E12" s="20">
        <v>56</v>
      </c>
      <c r="F12" s="20">
        <v>60.9</v>
      </c>
      <c r="G12" s="70">
        <v>63.5</v>
      </c>
      <c r="H12" s="20">
        <v>68.8</v>
      </c>
      <c r="I12" s="70">
        <v>75.900000000000006</v>
      </c>
      <c r="J12" s="109">
        <v>78.8</v>
      </c>
      <c r="K12" s="113">
        <v>80.900000000000006</v>
      </c>
      <c r="L12" s="109">
        <v>82</v>
      </c>
      <c r="M12" s="109">
        <v>89</v>
      </c>
    </row>
    <row r="13" spans="2:13" x14ac:dyDescent="0.25">
      <c r="B13" s="11" t="s">
        <v>251</v>
      </c>
      <c r="C13" s="20">
        <v>23.3</v>
      </c>
      <c r="D13" s="20">
        <v>24.2</v>
      </c>
      <c r="E13" s="70">
        <v>41.7</v>
      </c>
      <c r="F13" s="20">
        <v>46.2</v>
      </c>
      <c r="G13" s="70">
        <v>39</v>
      </c>
      <c r="H13" s="20">
        <v>27.5</v>
      </c>
      <c r="I13" s="70">
        <v>24.2</v>
      </c>
      <c r="J13" s="109">
        <v>24.3</v>
      </c>
      <c r="K13" s="113">
        <v>21.5</v>
      </c>
      <c r="L13" s="109">
        <v>20.9</v>
      </c>
      <c r="M13" s="109">
        <v>24</v>
      </c>
    </row>
    <row r="14" spans="2:13" x14ac:dyDescent="0.25">
      <c r="B14" s="2"/>
      <c r="C14" s="20"/>
      <c r="D14" s="20"/>
      <c r="E14" s="20"/>
      <c r="F14" s="20"/>
      <c r="G14" s="23"/>
      <c r="H14" s="20"/>
      <c r="I14" s="23"/>
      <c r="J14" s="110"/>
      <c r="K14" s="110"/>
      <c r="L14" s="110"/>
      <c r="M14" s="110"/>
    </row>
    <row r="15" spans="2:13" x14ac:dyDescent="0.25">
      <c r="B15" s="14" t="s">
        <v>39</v>
      </c>
      <c r="C15" s="20"/>
      <c r="D15" s="23"/>
      <c r="E15" s="23"/>
      <c r="F15" s="23"/>
      <c r="G15" s="23"/>
      <c r="H15" s="23"/>
      <c r="I15" s="23"/>
      <c r="J15" s="109"/>
      <c r="K15" s="112"/>
      <c r="L15" s="109"/>
      <c r="M15" s="109"/>
    </row>
    <row r="16" spans="2:13" x14ac:dyDescent="0.25">
      <c r="B16" s="12" t="s">
        <v>29</v>
      </c>
      <c r="C16" s="67">
        <f>C9/Folkmängd!C5*100000</f>
        <v>52.14051966646381</v>
      </c>
      <c r="D16" s="67">
        <f>D9/Folkmängd!D5*100000</f>
        <v>47.891578320773725</v>
      </c>
      <c r="E16" s="67">
        <f>E9/Folkmängd!E5*100000</f>
        <v>46.621249692172512</v>
      </c>
      <c r="F16" s="67">
        <f>F9/Folkmängd!F5*100000</f>
        <v>46.628499618044025</v>
      </c>
      <c r="G16" s="67">
        <f>G9/Folkmängd!G5*100000</f>
        <v>48.933539669171182</v>
      </c>
      <c r="H16" s="67">
        <f>H9/Folkmängd!H5*100000</f>
        <v>52.716128392234388</v>
      </c>
      <c r="I16" s="67">
        <f>I9/Folkmängd!I5*100000</f>
        <v>51.995576679614231</v>
      </c>
      <c r="J16" s="67">
        <f>J9/Folkmängd!J5*100000</f>
        <v>54.145546516532242</v>
      </c>
      <c r="K16" s="67">
        <f>K9/Folkmängd!K5*100000</f>
        <v>54.040763390142097</v>
      </c>
      <c r="L16" s="67">
        <f>L9/Folkmängd!L5*100000</f>
        <v>54.200476771625432</v>
      </c>
      <c r="M16" s="67">
        <f>M9/Folkmängd!M5*100000</f>
        <v>58.088374214435611</v>
      </c>
    </row>
    <row r="17" spans="2:13" x14ac:dyDescent="0.25">
      <c r="B17" s="12" t="s">
        <v>30</v>
      </c>
      <c r="C17" s="67">
        <f>C9/Folkmängd!C6*100000</f>
        <v>43.1650713005588</v>
      </c>
      <c r="D17" s="67">
        <f>D9/Folkmängd!D6*100000</f>
        <v>39.745817589754964</v>
      </c>
      <c r="E17" s="67">
        <f>E9/Folkmängd!E6*100000</f>
        <v>38.776987379738507</v>
      </c>
      <c r="F17" s="67">
        <f>F9/Folkmängd!F6*100000</f>
        <v>38.829182386698783</v>
      </c>
      <c r="G17" s="67">
        <f>G9/Folkmängd!G6*100000</f>
        <v>40.80301806375504</v>
      </c>
      <c r="H17" s="67">
        <f>H9/Folkmängd!H6*100000</f>
        <v>44.022809878126054</v>
      </c>
      <c r="I17" s="67">
        <f>I9/Folkmängd!I6*100000</f>
        <v>43.484510703939016</v>
      </c>
      <c r="J17" s="67">
        <f>J9/Folkmängd!J6*100000</f>
        <v>45.348965632970291</v>
      </c>
      <c r="K17" s="67">
        <f>K9/Folkmängd!K6*100000</f>
        <v>45.338264798510394</v>
      </c>
      <c r="L17" s="67">
        <f>L9/Folkmängd!L6*100000</f>
        <v>45.544540436708424</v>
      </c>
      <c r="M17" s="67">
        <f>M9/Folkmängd!M6*100000</f>
        <v>48.945581706115611</v>
      </c>
    </row>
    <row r="18" spans="2:13" x14ac:dyDescent="0.25">
      <c r="B18" s="14"/>
      <c r="C18" s="20"/>
      <c r="D18" s="70"/>
      <c r="E18" s="23"/>
      <c r="F18" s="23"/>
      <c r="G18" s="23"/>
      <c r="H18" s="23"/>
      <c r="I18" s="23"/>
      <c r="J18" s="109"/>
      <c r="K18" s="112"/>
      <c r="L18" s="112"/>
      <c r="M18" s="112"/>
    </row>
    <row r="19" spans="2:13" x14ac:dyDescent="0.25">
      <c r="B19" s="14" t="s">
        <v>40</v>
      </c>
      <c r="C19" s="20"/>
      <c r="D19" s="23"/>
      <c r="E19" s="23"/>
      <c r="F19" s="23"/>
      <c r="G19" s="23"/>
      <c r="H19" s="23"/>
      <c r="I19" s="23"/>
      <c r="J19" s="109"/>
      <c r="K19" s="112"/>
      <c r="L19" s="112"/>
      <c r="M19" s="112"/>
    </row>
    <row r="20" spans="2:13" x14ac:dyDescent="0.25">
      <c r="B20" s="12" t="s">
        <v>29</v>
      </c>
      <c r="C20" s="67">
        <f>C5/Folkmängd!C5*100000</f>
        <v>84.777179238671138</v>
      </c>
      <c r="D20" s="67">
        <f>D5/Folkmängd!D5*100000</f>
        <v>76.23053360096128</v>
      </c>
      <c r="E20" s="67">
        <f>E5/Folkmängd!E5*100000</f>
        <v>74.483192145232636</v>
      </c>
      <c r="F20" s="67">
        <f>F5/Folkmängd!F5*100000</f>
        <v>75.16918550108926</v>
      </c>
      <c r="G20" s="67">
        <f>G5/Folkmängd!G5*100000</f>
        <v>80.632781675386155</v>
      </c>
      <c r="H20" s="67">
        <f>H5/Folkmängd!H5*100000</f>
        <v>85.570898552183294</v>
      </c>
      <c r="I20" s="67">
        <f>I5/Folkmängd!I5*100000</f>
        <v>87.630617837645246</v>
      </c>
      <c r="J20" s="67">
        <f>J5/Folkmängd!J5*100000</f>
        <v>88.709230605359238</v>
      </c>
      <c r="K20" s="67">
        <f>K5/Folkmängd!K5*100000</f>
        <v>89.04774144776826</v>
      </c>
      <c r="L20" s="67">
        <f>L5/Folkmängd!L5*100000</f>
        <v>88.2613241284796</v>
      </c>
      <c r="M20" s="67">
        <f>M5/Folkmängd!M5*100000</f>
        <v>87.194596196959537</v>
      </c>
    </row>
    <row r="21" spans="2:13" x14ac:dyDescent="0.25">
      <c r="B21" s="12" t="s">
        <v>30</v>
      </c>
      <c r="C21" s="67">
        <f>C5/Folkmängd!C6*100000</f>
        <v>70.183669244309158</v>
      </c>
      <c r="D21" s="67">
        <f>D5/Folkmängd!D6*100000</f>
        <v>63.264669687431251</v>
      </c>
      <c r="E21" s="67">
        <f>E5/Folkmängd!E6*100000</f>
        <v>61.951016347449929</v>
      </c>
      <c r="F21" s="67">
        <f>F5/Folkmängd!F6*100000</f>
        <v>62.596009684856014</v>
      </c>
      <c r="G21" s="67">
        <f>G5/Folkmängd!G6*100000</f>
        <v>67.235292387899378</v>
      </c>
      <c r="H21" s="67">
        <f>H5/Folkmängd!H6*100000</f>
        <v>71.459561104986307</v>
      </c>
      <c r="I21" s="67">
        <f>I5/Folkmängd!I6*100000</f>
        <v>73.286513636223901</v>
      </c>
      <c r="J21" s="67">
        <f>J5/Folkmängd!J6*100000</f>
        <v>74.297372708600705</v>
      </c>
      <c r="K21" s="67">
        <f>K5/Folkmängd!K6*100000</f>
        <v>74.707865474096351</v>
      </c>
      <c r="L21" s="67">
        <f>L5/Folkmängd!L6*100000</f>
        <v>74.165794937645117</v>
      </c>
      <c r="M21" s="67">
        <f>M5/Folkmängd!M6*100000</f>
        <v>73.470643484276536</v>
      </c>
    </row>
    <row r="22" spans="2:13" x14ac:dyDescent="0.25">
      <c r="B22" s="7"/>
    </row>
    <row r="23" spans="2:13" x14ac:dyDescent="0.25">
      <c r="B23" s="63" t="s">
        <v>385</v>
      </c>
    </row>
    <row r="24" spans="2:13" x14ac:dyDescent="0.25">
      <c r="B24" s="89" t="s">
        <v>386</v>
      </c>
    </row>
    <row r="27" spans="2:13" x14ac:dyDescent="0.25">
      <c r="B27" s="6"/>
    </row>
    <row r="28" spans="2:13" x14ac:dyDescent="0.25">
      <c r="B28" s="7"/>
    </row>
    <row r="31" spans="2:13" ht="18.75" x14ac:dyDescent="0.3">
      <c r="B31" s="15" t="s">
        <v>35</v>
      </c>
      <c r="C31" s="16">
        <v>2014</v>
      </c>
      <c r="D31" s="16">
        <v>2015</v>
      </c>
      <c r="E31" s="16">
        <v>2016</v>
      </c>
      <c r="F31" s="16">
        <v>2017</v>
      </c>
      <c r="G31" s="16">
        <v>2018</v>
      </c>
      <c r="H31" s="16">
        <v>2019</v>
      </c>
      <c r="I31" s="16">
        <v>2020</v>
      </c>
      <c r="J31" s="16">
        <v>2021</v>
      </c>
      <c r="K31" s="16">
        <v>2022</v>
      </c>
      <c r="L31" s="16">
        <v>2023</v>
      </c>
      <c r="M31" s="16">
        <v>2024</v>
      </c>
    </row>
    <row r="32" spans="2:13" x14ac:dyDescent="0.25">
      <c r="B32" s="2" t="s">
        <v>229</v>
      </c>
      <c r="C32" s="20">
        <v>2929</v>
      </c>
      <c r="D32" s="10">
        <f>SUM(D34,D36,D38)</f>
        <v>2859</v>
      </c>
      <c r="E32" s="10">
        <f>SUM(E34,E36,E38)</f>
        <v>2917</v>
      </c>
      <c r="F32" s="10">
        <f>SUM(F34,F36,F38)</f>
        <v>2821</v>
      </c>
      <c r="G32" s="10">
        <v>2703</v>
      </c>
      <c r="H32" s="10">
        <v>2736</v>
      </c>
      <c r="I32" s="10">
        <v>2573</v>
      </c>
      <c r="J32" s="10">
        <v>2596</v>
      </c>
      <c r="K32" s="10">
        <v>2848</v>
      </c>
      <c r="L32" s="10">
        <v>2937</v>
      </c>
      <c r="M32" s="10">
        <v>3132</v>
      </c>
    </row>
    <row r="33" spans="2:13" x14ac:dyDescent="0.25">
      <c r="B33" s="2" t="s">
        <v>16</v>
      </c>
      <c r="C33" s="10"/>
      <c r="D33" s="2"/>
      <c r="E33" s="2"/>
      <c r="F33" s="2"/>
      <c r="G33" s="10"/>
      <c r="H33" s="10"/>
      <c r="I33" s="10"/>
      <c r="J33" s="10"/>
      <c r="K33" s="10"/>
      <c r="L33" s="10"/>
      <c r="M33" s="10"/>
    </row>
    <row r="34" spans="2:13" x14ac:dyDescent="0.25">
      <c r="B34" s="11" t="s">
        <v>253</v>
      </c>
      <c r="C34" s="2">
        <v>619</v>
      </c>
      <c r="D34" s="2">
        <v>597</v>
      </c>
      <c r="E34" s="2">
        <v>585</v>
      </c>
      <c r="F34" s="2">
        <v>597</v>
      </c>
      <c r="G34" s="10">
        <v>547</v>
      </c>
      <c r="H34" s="10">
        <v>639</v>
      </c>
      <c r="I34" s="10">
        <v>632</v>
      </c>
      <c r="J34" s="10">
        <v>603</v>
      </c>
      <c r="K34" s="10">
        <v>669</v>
      </c>
      <c r="L34" s="10">
        <v>703</v>
      </c>
      <c r="M34" s="10">
        <v>782</v>
      </c>
    </row>
    <row r="35" spans="2:13" x14ac:dyDescent="0.25">
      <c r="B35" s="13" t="s">
        <v>42</v>
      </c>
      <c r="C35" s="8">
        <f t="shared" ref="C35:H35" si="2">C34/C32*100</f>
        <v>21.133492659610788</v>
      </c>
      <c r="D35" s="8">
        <f t="shared" si="2"/>
        <v>20.881427072402939</v>
      </c>
      <c r="E35" s="8">
        <f t="shared" si="2"/>
        <v>20.054850874185806</v>
      </c>
      <c r="F35" s="8">
        <f t="shared" si="2"/>
        <v>21.16270825948245</v>
      </c>
      <c r="G35" s="67">
        <f t="shared" si="2"/>
        <v>20.236773954864965</v>
      </c>
      <c r="H35" s="67">
        <f t="shared" si="2"/>
        <v>23.355263157894736</v>
      </c>
      <c r="I35" s="67">
        <f t="shared" ref="I35:K35" si="3">I34/I32*100</f>
        <v>24.56276719782355</v>
      </c>
      <c r="J35" s="67">
        <f t="shared" si="3"/>
        <v>23.228043143297381</v>
      </c>
      <c r="K35" s="67">
        <f t="shared" si="3"/>
        <v>23.490168539325843</v>
      </c>
      <c r="L35" s="67">
        <f t="shared" ref="L35:M35" si="4">L34/L32*100</f>
        <v>23.935989104528428</v>
      </c>
      <c r="M35" s="67">
        <f t="shared" si="4"/>
        <v>24.968071519795657</v>
      </c>
    </row>
    <row r="36" spans="2:13" x14ac:dyDescent="0.25">
      <c r="B36" s="11" t="s">
        <v>45</v>
      </c>
      <c r="C36" s="20">
        <v>2257</v>
      </c>
      <c r="D36" s="20">
        <v>2210</v>
      </c>
      <c r="E36" s="20">
        <v>2275</v>
      </c>
      <c r="F36" s="20">
        <v>2169</v>
      </c>
      <c r="G36" s="10">
        <v>2097</v>
      </c>
      <c r="H36" s="10">
        <v>2031</v>
      </c>
      <c r="I36" s="10">
        <v>1877</v>
      </c>
      <c r="J36" s="10">
        <v>1974</v>
      </c>
      <c r="K36" s="10">
        <v>2073</v>
      </c>
      <c r="L36" s="10">
        <v>2134</v>
      </c>
      <c r="M36" s="10">
        <v>2275</v>
      </c>
    </row>
    <row r="37" spans="2:13" x14ac:dyDescent="0.25">
      <c r="B37" s="13" t="s">
        <v>42</v>
      </c>
      <c r="C37" s="8">
        <f t="shared" ref="C37:H37" si="5">C36/C32*100</f>
        <v>77.057016046432224</v>
      </c>
      <c r="D37" s="8">
        <f t="shared" si="5"/>
        <v>77.299755159146557</v>
      </c>
      <c r="E37" s="8">
        <f t="shared" si="5"/>
        <v>77.991086732944808</v>
      </c>
      <c r="F37" s="8">
        <f t="shared" si="5"/>
        <v>76.887628500531719</v>
      </c>
      <c r="G37" s="67">
        <f t="shared" si="5"/>
        <v>77.58046614872363</v>
      </c>
      <c r="H37" s="67">
        <f t="shared" si="5"/>
        <v>74.232456140350877</v>
      </c>
      <c r="I37" s="67">
        <f t="shared" ref="I37:K37" si="6">I36/I32*100</f>
        <v>72.949863972017098</v>
      </c>
      <c r="J37" s="67">
        <f t="shared" si="6"/>
        <v>76.040061633281979</v>
      </c>
      <c r="K37" s="67">
        <f t="shared" si="6"/>
        <v>72.787921348314612</v>
      </c>
      <c r="L37" s="67">
        <f t="shared" ref="L37:M37" si="7">L36/L32*100</f>
        <v>72.659176029962552</v>
      </c>
      <c r="M37" s="67">
        <f t="shared" si="7"/>
        <v>72.637292464878669</v>
      </c>
    </row>
    <row r="38" spans="2:13" x14ac:dyDescent="0.25">
      <c r="B38" s="11" t="s">
        <v>43</v>
      </c>
      <c r="C38" s="2">
        <v>52</v>
      </c>
      <c r="D38" s="2">
        <v>52</v>
      </c>
      <c r="E38" s="2">
        <v>57</v>
      </c>
      <c r="F38" s="2">
        <v>55</v>
      </c>
      <c r="G38" s="10">
        <v>59</v>
      </c>
      <c r="H38" s="10">
        <v>66</v>
      </c>
      <c r="I38" s="10">
        <v>63</v>
      </c>
      <c r="J38" s="10">
        <v>20</v>
      </c>
      <c r="K38" s="10">
        <v>106</v>
      </c>
      <c r="L38" s="10">
        <v>99</v>
      </c>
      <c r="M38" s="10">
        <v>75</v>
      </c>
    </row>
    <row r="39" spans="2:13" x14ac:dyDescent="0.25">
      <c r="B39" s="11" t="s">
        <v>44</v>
      </c>
      <c r="C39" s="2"/>
      <c r="D39" s="2"/>
      <c r="E39" s="2"/>
      <c r="F39" s="2"/>
      <c r="G39" s="2"/>
      <c r="H39" s="2"/>
      <c r="I39" s="2"/>
      <c r="J39" s="2"/>
      <c r="K39" s="2"/>
      <c r="L39" s="2"/>
      <c r="M39" s="2"/>
    </row>
    <row r="40" spans="2:13" x14ac:dyDescent="0.25">
      <c r="B40" s="11" t="s">
        <v>46</v>
      </c>
      <c r="C40" s="2"/>
      <c r="D40" s="2"/>
      <c r="E40" s="2"/>
      <c r="F40" s="2"/>
      <c r="G40" s="2"/>
      <c r="H40" s="2"/>
      <c r="I40" s="2"/>
      <c r="J40" s="2"/>
      <c r="K40" s="2"/>
      <c r="L40" s="2"/>
      <c r="M40" s="2"/>
    </row>
    <row r="41" spans="2:13" x14ac:dyDescent="0.25">
      <c r="B41" s="2"/>
      <c r="C41" s="2"/>
      <c r="D41" s="2"/>
      <c r="E41" s="2"/>
      <c r="F41" s="2"/>
      <c r="G41" s="2"/>
      <c r="H41" s="2"/>
      <c r="I41" s="2"/>
      <c r="J41" s="2"/>
      <c r="K41" s="2"/>
      <c r="L41" s="2"/>
      <c r="M41" s="2"/>
    </row>
    <row r="42" spans="2:13" x14ac:dyDescent="0.25">
      <c r="B42" s="14" t="s">
        <v>39</v>
      </c>
      <c r="C42" s="2"/>
      <c r="D42" s="2"/>
      <c r="E42" s="2"/>
      <c r="F42" s="2"/>
      <c r="G42" s="2"/>
      <c r="H42" s="2"/>
      <c r="I42" s="2"/>
      <c r="J42" s="2"/>
      <c r="K42" s="2"/>
      <c r="L42" s="2"/>
      <c r="M42" s="2"/>
    </row>
    <row r="43" spans="2:13" x14ac:dyDescent="0.25">
      <c r="B43" s="12" t="s">
        <v>29</v>
      </c>
      <c r="C43" s="8">
        <f>C36/Folkmängd!C11*100000</f>
        <v>49.536362038159027</v>
      </c>
      <c r="D43" s="8">
        <f>D36/Folkmängd!D11*100000</f>
        <v>48.304479967301582</v>
      </c>
      <c r="E43" s="8">
        <f>E36/Folkmängd!E11*100000</f>
        <v>49.550398200068173</v>
      </c>
      <c r="F43" s="8">
        <f>F36/Folkmängd!F11*100000</f>
        <v>47.058884789045365</v>
      </c>
      <c r="G43" s="8">
        <f>G36/Folkmängd!G11*100000</f>
        <v>45.363040608682446</v>
      </c>
      <c r="H43" s="8">
        <f>H36/Folkmängd!H11*100000</f>
        <v>43.812295270278284</v>
      </c>
      <c r="I43" s="8">
        <f>I36/Folkmängd!I11*100000</f>
        <v>40.328679814775981</v>
      </c>
      <c r="J43" s="8">
        <f>J36/Folkmängd!J11*100000</f>
        <v>42.243285372010547</v>
      </c>
      <c r="K43" s="8">
        <f>K36/Folkmängd!K11*100000</f>
        <v>44.139750752004659</v>
      </c>
      <c r="L43" s="8">
        <f>L36/Folkmängd!L11*100000</f>
        <v>45.177005370008992</v>
      </c>
      <c r="M43" s="8">
        <f>M36/Folkmängd!M11*100000</f>
        <v>47.677737891478763</v>
      </c>
    </row>
    <row r="44" spans="2:13" x14ac:dyDescent="0.25">
      <c r="B44" s="12" t="s">
        <v>30</v>
      </c>
      <c r="C44" s="8">
        <f>C36/Folkmängd!C12*100000</f>
        <v>41.403195952502813</v>
      </c>
      <c r="D44" s="8">
        <f>D36/Folkmängd!D12*100000</f>
        <v>40.389250026454043</v>
      </c>
      <c r="E44" s="8">
        <f>E36/Folkmängd!E12*100000</f>
        <v>41.459309373558035</v>
      </c>
      <c r="F44" s="8">
        <f>F36/Folkmängd!F12*100000</f>
        <v>39.412737491725416</v>
      </c>
      <c r="G44" s="8">
        <f>G36/Folkmängd!G12*100000</f>
        <v>38.036469301467584</v>
      </c>
      <c r="H44" s="8">
        <f>H36/Folkmängd!H12*100000</f>
        <v>36.807354366745869</v>
      </c>
      <c r="I44" s="8">
        <f>I36/Folkmängd!I12*100000</f>
        <v>33.971055285403921</v>
      </c>
      <c r="J44" s="8">
        <f>J36/Folkmängd!J12*100000</f>
        <v>35.671735462457669</v>
      </c>
      <c r="K44" s="8">
        <f>K36/Folkmängd!K12*100000</f>
        <v>37.363193127335315</v>
      </c>
      <c r="L44" s="8">
        <f>L36/Folkmängd!L12*100000</f>
        <v>38.353909169172375</v>
      </c>
      <c r="M44" s="8">
        <f>M36/Folkmängd!M12*100000</f>
        <v>40.597082256469704</v>
      </c>
    </row>
    <row r="45" spans="2:13" x14ac:dyDescent="0.25">
      <c r="B45" s="14"/>
      <c r="C45" s="2"/>
      <c r="D45" s="2"/>
      <c r="E45" s="2"/>
      <c r="F45" s="19"/>
      <c r="G45" s="19"/>
      <c r="H45" s="19"/>
      <c r="I45" s="19"/>
      <c r="J45" s="19"/>
      <c r="K45" s="19"/>
      <c r="L45" s="19"/>
      <c r="M45" s="19"/>
    </row>
    <row r="46" spans="2:13" x14ac:dyDescent="0.25">
      <c r="B46" s="14" t="s">
        <v>40</v>
      </c>
      <c r="C46" s="2"/>
      <c r="D46" s="2"/>
      <c r="E46" s="2"/>
      <c r="F46" s="19"/>
      <c r="G46" s="19"/>
      <c r="H46" s="19"/>
      <c r="I46" s="19"/>
      <c r="J46" s="19"/>
      <c r="K46" s="19"/>
      <c r="L46" s="19"/>
      <c r="M46" s="19"/>
    </row>
    <row r="47" spans="2:13" x14ac:dyDescent="0.25">
      <c r="B47" s="12" t="s">
        <v>29</v>
      </c>
      <c r="C47" s="8">
        <f>C32/Folkmängd!C11*100000</f>
        <v>64.285336468660958</v>
      </c>
      <c r="D47" s="8">
        <f>D32/Folkmängd!D11*100000</f>
        <v>62.489822726929965</v>
      </c>
      <c r="E47" s="8">
        <f>E32/Folkmängd!E11*100000</f>
        <v>63.533411670153342</v>
      </c>
      <c r="F47" s="8">
        <f>F32/Folkmängd!F11*100000</f>
        <v>61.204755182064069</v>
      </c>
      <c r="G47" s="8">
        <f>G32/Folkmängd!G11*100000</f>
        <v>58.472245476999831</v>
      </c>
      <c r="H47" s="8">
        <f>H32/Folkmängd!H11*100000</f>
        <v>59.020403672812108</v>
      </c>
      <c r="I47" s="8">
        <f>I32/Folkmängd!I11*100000</f>
        <v>55.282734770068515</v>
      </c>
      <c r="J47" s="8">
        <f>J32/Folkmängd!J11*100000</f>
        <v>55.553986233910528</v>
      </c>
      <c r="K47" s="8">
        <f>K32/Folkmängd!K11*100000</f>
        <v>60.641587140236012</v>
      </c>
      <c r="L47" s="8">
        <f>L32/Folkmängd!L11*100000</f>
        <v>62.176600174187634</v>
      </c>
      <c r="M47" s="8">
        <f>M32/Folkmängd!M11*100000</f>
        <v>65.638098934554492</v>
      </c>
    </row>
    <row r="48" spans="2:13" x14ac:dyDescent="0.25">
      <c r="B48" s="12" t="s">
        <v>30</v>
      </c>
      <c r="C48" s="8">
        <f>C32/Folkmängd!C12*100000</f>
        <v>53.730598557767273</v>
      </c>
      <c r="D48" s="8">
        <f>D32/Folkmängd!D12*100000</f>
        <v>52.250165531960235</v>
      </c>
      <c r="E48" s="8">
        <f>E32/Folkmängd!E12*100000</f>
        <v>53.159035359414851</v>
      </c>
      <c r="F48" s="8">
        <f>F32/Folkmängd!F12*100000</f>
        <v>51.260180942442325</v>
      </c>
      <c r="G48" s="8">
        <f>G32/Folkmängd!G12*100000</f>
        <v>49.028410358544058</v>
      </c>
      <c r="H48" s="8">
        <f>H32/Folkmängd!H12*100000</f>
        <v>49.583910166133286</v>
      </c>
      <c r="I48" s="8">
        <f>I32/Folkmängd!I12*100000</f>
        <v>46.567674613396001</v>
      </c>
      <c r="J48" s="8">
        <f>J32/Folkmängd!J12*100000</f>
        <v>46.911765582847067</v>
      </c>
      <c r="K48" s="8">
        <f>K32/Folkmängd!K12*100000</f>
        <v>51.331584190376738</v>
      </c>
      <c r="L48" s="8">
        <f>L32/Folkmängd!L12*100000</f>
        <v>52.78605024829394</v>
      </c>
      <c r="M48" s="8">
        <f>M32/Folkmängd!M12*100000</f>
        <v>55.890136979016752</v>
      </c>
    </row>
    <row r="49" spans="2:16" x14ac:dyDescent="0.25">
      <c r="B49" s="7"/>
      <c r="C49" s="8"/>
      <c r="D49" s="8"/>
      <c r="E49" s="8"/>
      <c r="F49" s="8"/>
    </row>
    <row r="50" spans="2:16" x14ac:dyDescent="0.25">
      <c r="B50" s="63" t="s">
        <v>252</v>
      </c>
      <c r="C50" s="8"/>
      <c r="D50" s="8"/>
      <c r="E50" s="8"/>
      <c r="F50" s="8"/>
    </row>
    <row r="51" spans="2:16" x14ac:dyDescent="0.25">
      <c r="B51" s="63" t="s">
        <v>376</v>
      </c>
    </row>
    <row r="52" spans="2:16" x14ac:dyDescent="0.25">
      <c r="B52" s="6"/>
    </row>
    <row r="53" spans="2:16" x14ac:dyDescent="0.25">
      <c r="B53" s="6"/>
    </row>
    <row r="54" spans="2:16" x14ac:dyDescent="0.25">
      <c r="B54" s="7"/>
    </row>
    <row r="57" spans="2:16" ht="18.75" x14ac:dyDescent="0.3">
      <c r="B57" s="15" t="s">
        <v>36</v>
      </c>
      <c r="C57" s="16">
        <v>2014</v>
      </c>
      <c r="D57" s="16">
        <v>2015</v>
      </c>
      <c r="E57" s="16">
        <v>2016</v>
      </c>
      <c r="F57" s="16">
        <v>2017</v>
      </c>
      <c r="G57" s="16">
        <v>2018</v>
      </c>
      <c r="H57" s="16">
        <v>2019</v>
      </c>
      <c r="I57" s="16">
        <v>2020</v>
      </c>
      <c r="J57" s="16">
        <v>2021</v>
      </c>
      <c r="K57" s="16">
        <v>2022</v>
      </c>
      <c r="L57" s="16">
        <v>2023</v>
      </c>
      <c r="M57" s="16">
        <v>2024</v>
      </c>
    </row>
    <row r="58" spans="2:16" x14ac:dyDescent="0.25">
      <c r="B58" s="2" t="s">
        <v>229</v>
      </c>
      <c r="C58" s="69">
        <v>182</v>
      </c>
      <c r="D58" s="69">
        <v>174.8</v>
      </c>
      <c r="E58" s="69">
        <v>147.6</v>
      </c>
      <c r="F58" s="69">
        <v>162.6</v>
      </c>
      <c r="G58" s="69">
        <v>164.2</v>
      </c>
      <c r="H58" s="70">
        <v>182.4</v>
      </c>
      <c r="I58" s="69">
        <v>152.19999999999999</v>
      </c>
      <c r="J58" s="70">
        <v>158.4</v>
      </c>
      <c r="K58" s="69">
        <v>165.3</v>
      </c>
      <c r="L58" s="70">
        <v>172.24</v>
      </c>
      <c r="M58" s="70">
        <v>161.19999999999999</v>
      </c>
      <c r="N58" s="68"/>
    </row>
    <row r="59" spans="2:16" x14ac:dyDescent="0.25">
      <c r="B59" s="2" t="s">
        <v>16</v>
      </c>
      <c r="C59" s="2"/>
      <c r="D59" s="2"/>
      <c r="E59" s="2"/>
      <c r="F59" s="2"/>
      <c r="G59" s="2"/>
      <c r="H59" s="23"/>
      <c r="I59" s="2"/>
      <c r="J59" s="23"/>
      <c r="K59" s="2"/>
      <c r="L59" s="23"/>
      <c r="M59" s="23"/>
    </row>
    <row r="60" spans="2:16" x14ac:dyDescent="0.25">
      <c r="B60" s="11" t="s">
        <v>41</v>
      </c>
      <c r="C60" s="69">
        <v>12</v>
      </c>
      <c r="D60" s="69">
        <v>16.899999999999999</v>
      </c>
      <c r="E60" s="69">
        <v>18</v>
      </c>
      <c r="F60" s="69">
        <v>24</v>
      </c>
      <c r="G60" s="69">
        <v>25.7</v>
      </c>
      <c r="H60" s="70">
        <v>29.9</v>
      </c>
      <c r="I60" s="69">
        <v>27.1</v>
      </c>
      <c r="J60" s="70">
        <v>19.2</v>
      </c>
      <c r="K60" s="69">
        <v>35.299999999999997</v>
      </c>
      <c r="L60" s="70">
        <v>50.56</v>
      </c>
      <c r="M60" s="70">
        <v>53.7</v>
      </c>
      <c r="N60" s="68"/>
      <c r="O60" s="68"/>
      <c r="P60" s="68"/>
    </row>
    <row r="61" spans="2:16" x14ac:dyDescent="0.25">
      <c r="B61" s="13" t="s">
        <v>42</v>
      </c>
      <c r="C61" s="80">
        <f t="shared" ref="C61:H61" si="8">C60/C58*100</f>
        <v>6.593406593406594</v>
      </c>
      <c r="D61" s="80">
        <f t="shared" si="8"/>
        <v>9.6681922196796322</v>
      </c>
      <c r="E61" s="80">
        <f t="shared" si="8"/>
        <v>12.195121951219514</v>
      </c>
      <c r="F61" s="80">
        <f t="shared" si="8"/>
        <v>14.760147601476014</v>
      </c>
      <c r="G61" s="80">
        <f t="shared" si="8"/>
        <v>15.651644336175396</v>
      </c>
      <c r="H61" s="8">
        <f t="shared" si="8"/>
        <v>16.392543859649123</v>
      </c>
      <c r="I61" s="80">
        <f t="shared" ref="I61:K61" si="9">I60/I58*100</f>
        <v>17.80551905387648</v>
      </c>
      <c r="J61" s="8">
        <f t="shared" si="9"/>
        <v>12.121212121212119</v>
      </c>
      <c r="K61" s="8">
        <f t="shared" si="9"/>
        <v>21.355111917725345</v>
      </c>
      <c r="L61" s="8">
        <f t="shared" ref="L61:M61" si="10">L60/L58*100</f>
        <v>29.354389224338135</v>
      </c>
      <c r="M61" s="8">
        <f t="shared" si="10"/>
        <v>33.312655086848643</v>
      </c>
    </row>
    <row r="62" spans="2:16" x14ac:dyDescent="0.25">
      <c r="B62" s="11" t="s">
        <v>45</v>
      </c>
      <c r="C62" s="69">
        <v>142</v>
      </c>
      <c r="D62" s="69">
        <v>134.69999999999999</v>
      </c>
      <c r="E62" s="69">
        <v>109.6</v>
      </c>
      <c r="F62" s="69">
        <v>117.5</v>
      </c>
      <c r="G62" s="69">
        <v>119.2</v>
      </c>
      <c r="H62" s="70">
        <v>129</v>
      </c>
      <c r="I62" s="69">
        <v>107</v>
      </c>
      <c r="J62" s="70">
        <v>121.6</v>
      </c>
      <c r="K62" s="69">
        <v>110.8</v>
      </c>
      <c r="L62" s="70">
        <v>105.35</v>
      </c>
      <c r="M62" s="70">
        <v>92</v>
      </c>
    </row>
    <row r="63" spans="2:16" x14ac:dyDescent="0.25">
      <c r="B63" s="13" t="s">
        <v>42</v>
      </c>
      <c r="C63" s="80">
        <f t="shared" ref="C63:H63" si="11">C62/C58*100</f>
        <v>78.021978021978029</v>
      </c>
      <c r="D63" s="80">
        <f t="shared" si="11"/>
        <v>77.059496567505718</v>
      </c>
      <c r="E63" s="80">
        <f t="shared" si="11"/>
        <v>74.254742547425479</v>
      </c>
      <c r="F63" s="80">
        <f t="shared" si="11"/>
        <v>72.263222632226316</v>
      </c>
      <c r="G63" s="80">
        <f t="shared" si="11"/>
        <v>72.594397076735689</v>
      </c>
      <c r="H63" s="8">
        <f t="shared" si="11"/>
        <v>70.723684210526315</v>
      </c>
      <c r="I63" s="80">
        <f t="shared" ref="I63:K63" si="12">I62/I58*100</f>
        <v>70.302233902759539</v>
      </c>
      <c r="J63" s="8">
        <f t="shared" si="12"/>
        <v>76.767676767676761</v>
      </c>
      <c r="K63" s="8">
        <f t="shared" si="12"/>
        <v>67.029643073200234</v>
      </c>
      <c r="L63" s="8">
        <f t="shared" ref="L63:M63" si="13">L62/L58*100</f>
        <v>61.164653971202966</v>
      </c>
      <c r="M63" s="8">
        <f t="shared" si="13"/>
        <v>57.071960297766758</v>
      </c>
    </row>
    <row r="64" spans="2:16" x14ac:dyDescent="0.25">
      <c r="B64" s="11" t="s">
        <v>43</v>
      </c>
      <c r="C64" s="69">
        <v>3</v>
      </c>
      <c r="D64" s="69">
        <v>2.4</v>
      </c>
      <c r="E64" s="69">
        <v>1.9</v>
      </c>
      <c r="F64" s="69">
        <v>2.8</v>
      </c>
      <c r="G64" s="69">
        <v>0.9</v>
      </c>
      <c r="H64" s="70">
        <v>5</v>
      </c>
      <c r="I64" s="69">
        <v>1.5</v>
      </c>
      <c r="J64" s="70">
        <v>1.3</v>
      </c>
      <c r="K64" s="69">
        <v>1</v>
      </c>
      <c r="L64" s="70">
        <v>0.44</v>
      </c>
      <c r="M64" s="70">
        <v>0.5</v>
      </c>
    </row>
    <row r="65" spans="2:13" x14ac:dyDescent="0.25">
      <c r="B65" s="11" t="s">
        <v>44</v>
      </c>
      <c r="C65" s="69"/>
      <c r="D65" s="69"/>
      <c r="E65" s="69"/>
      <c r="F65" s="69"/>
      <c r="G65" s="69"/>
      <c r="H65" s="69"/>
      <c r="I65" s="69"/>
      <c r="J65" s="69"/>
      <c r="K65" s="69"/>
      <c r="L65" s="69"/>
      <c r="M65" s="69"/>
    </row>
    <row r="66" spans="2:13" x14ac:dyDescent="0.25">
      <c r="B66" s="11" t="s">
        <v>251</v>
      </c>
      <c r="C66" s="69">
        <v>25</v>
      </c>
      <c r="D66" s="69">
        <v>20.8</v>
      </c>
      <c r="E66" s="69">
        <v>18.100000000000001</v>
      </c>
      <c r="F66" s="69">
        <v>18.3</v>
      </c>
      <c r="G66" s="69">
        <v>18.399999999999999</v>
      </c>
      <c r="H66" s="69">
        <v>18.5</v>
      </c>
      <c r="I66" s="69">
        <v>16.600000000000001</v>
      </c>
      <c r="J66" s="69">
        <v>16.3</v>
      </c>
      <c r="K66" s="69">
        <v>18.2</v>
      </c>
      <c r="L66" s="69">
        <v>15.89</v>
      </c>
      <c r="M66" s="69">
        <v>14.9</v>
      </c>
    </row>
    <row r="67" spans="2:13" x14ac:dyDescent="0.25">
      <c r="B67" s="2"/>
      <c r="C67" s="69"/>
      <c r="D67" s="69"/>
      <c r="E67" s="69"/>
      <c r="F67" s="69"/>
      <c r="G67" s="69"/>
      <c r="H67" s="69"/>
      <c r="I67" s="69"/>
      <c r="J67" s="69"/>
      <c r="K67" s="69"/>
      <c r="L67" s="69"/>
      <c r="M67" s="69"/>
    </row>
    <row r="68" spans="2:13" x14ac:dyDescent="0.25">
      <c r="B68" s="14" t="s">
        <v>39</v>
      </c>
      <c r="C68" s="69"/>
      <c r="D68" s="69"/>
      <c r="E68" s="69"/>
      <c r="F68" s="69"/>
      <c r="G68" s="69"/>
      <c r="H68" s="69"/>
      <c r="I68" s="69"/>
      <c r="J68" s="69"/>
      <c r="K68" s="69"/>
      <c r="L68" s="69"/>
      <c r="M68" s="69"/>
    </row>
    <row r="69" spans="2:13" x14ac:dyDescent="0.25">
      <c r="B69" s="12" t="s">
        <v>29</v>
      </c>
      <c r="C69" s="80">
        <f>C62/Folkmängd!C17*100000</f>
        <v>56.048722918007037</v>
      </c>
      <c r="D69" s="80">
        <f>D62/Folkmängd!D17*100000</f>
        <v>52.527111710777213</v>
      </c>
      <c r="E69" s="80">
        <f>E62/Folkmängd!E17*100000</f>
        <v>42.165360540763054</v>
      </c>
      <c r="F69" s="80">
        <f>F62/Folkmängd!F17*100000</f>
        <v>44.157327861582743</v>
      </c>
      <c r="G69" s="80">
        <f>G62/Folkmängd!G17*100000</f>
        <v>43.322611713823619</v>
      </c>
      <c r="H69" s="80">
        <v>42.880756914522053</v>
      </c>
      <c r="I69" s="80">
        <f>I62/Folkmängd!I17*100000</f>
        <v>37.374951098194828</v>
      </c>
      <c r="J69" s="80">
        <f>J62/Folkmängd!J17*100000</f>
        <v>41.969096111300935</v>
      </c>
      <c r="K69" s="80">
        <f>K62/Folkmängd!K17*100000</f>
        <v>37.481817259226681</v>
      </c>
      <c r="L69" s="80">
        <f>L62/Folkmängd!L17*100000</f>
        <v>34.51574750264561</v>
      </c>
      <c r="M69" s="80">
        <f>M62/[1]Folkmängd!M17*100000</f>
        <v>29.329159241394922</v>
      </c>
    </row>
    <row r="70" spans="2:13" x14ac:dyDescent="0.25">
      <c r="B70" s="12" t="s">
        <v>30</v>
      </c>
      <c r="C70" s="80">
        <f>C62/Folkmängd!C18*100000</f>
        <v>44.414139960840494</v>
      </c>
      <c r="D70" s="80">
        <f>D62/Folkmängd!D18*100000</f>
        <v>41.699687948883053</v>
      </c>
      <c r="E70" s="80">
        <f>E62/Folkmängd!E18*100000</f>
        <v>33.615919714387367</v>
      </c>
      <c r="F70" s="80">
        <f>F62/Folkmängd!F18*100000</f>
        <v>35.337601915147651</v>
      </c>
      <c r="G70" s="80">
        <f>G62/Folkmängd!G18*100000</f>
        <v>34.835161302577866</v>
      </c>
      <c r="H70" s="80">
        <v>34.73476922387399</v>
      </c>
      <c r="I70" s="80">
        <f>I62/Folkmängd!I18*100000</f>
        <v>30.222402991735443</v>
      </c>
      <c r="J70" s="80">
        <f>J62/Folkmängd!J18*100000</f>
        <v>33.938230188279029</v>
      </c>
      <c r="K70" s="80">
        <f>K62/Folkmängd!K18*100000</f>
        <v>30.363068862234424</v>
      </c>
      <c r="L70" s="80">
        <f>L62/Folkmängd!L18*100000</f>
        <v>28.077011230804494</v>
      </c>
      <c r="M70" s="80">
        <f>M62/[1]Folkmängd!M18*100000</f>
        <v>23.05932010095972</v>
      </c>
    </row>
    <row r="71" spans="2:13" x14ac:dyDescent="0.25">
      <c r="B71" s="14"/>
      <c r="C71" s="80"/>
      <c r="D71" s="80"/>
      <c r="E71" s="80"/>
      <c r="F71" s="80"/>
      <c r="G71" s="80"/>
      <c r="H71" s="80"/>
      <c r="I71" s="80"/>
      <c r="J71" s="80"/>
      <c r="K71" s="80"/>
      <c r="L71" s="80"/>
      <c r="M71" s="80"/>
    </row>
    <row r="72" spans="2:13" x14ac:dyDescent="0.25">
      <c r="B72" s="14" t="s">
        <v>40</v>
      </c>
      <c r="C72" s="80"/>
      <c r="D72" s="80"/>
      <c r="E72" s="80"/>
      <c r="F72" s="80"/>
      <c r="G72" s="80"/>
      <c r="H72" s="80"/>
      <c r="I72" s="80"/>
      <c r="J72" s="80"/>
      <c r="K72" s="80"/>
      <c r="L72" s="80"/>
      <c r="M72" s="80"/>
    </row>
    <row r="73" spans="2:13" x14ac:dyDescent="0.25">
      <c r="B73" s="12" t="s">
        <v>29</v>
      </c>
      <c r="C73" s="80">
        <f>C58/Folkmängd!C17*100000</f>
        <v>71.837095570966767</v>
      </c>
      <c r="D73" s="80">
        <f>D58/Folkmängd!D17*100000</f>
        <v>68.164358775381288</v>
      </c>
      <c r="E73" s="80">
        <f>E58/Folkmängd!E17*100000</f>
        <v>56.784737370589653</v>
      </c>
      <c r="F73" s="80">
        <f>F58/Folkmängd!F17*100000</f>
        <v>61.106225619517915</v>
      </c>
      <c r="G73" s="80">
        <f>G58/Folkmängd!G17*100000</f>
        <v>59.677624525250323</v>
      </c>
      <c r="H73" s="80">
        <v>60.966753580889012</v>
      </c>
      <c r="I73" s="80">
        <f>I58/Folkmängd!I17*100000</f>
        <v>53.163248197619183</v>
      </c>
      <c r="J73" s="80">
        <f>J58/Folkmängd!J17*100000</f>
        <v>54.670269934457806</v>
      </c>
      <c r="K73" s="80">
        <f>K58/Folkmängd!K17*100000</f>
        <v>55.91827069449613</v>
      </c>
      <c r="L73" s="80">
        <f>L58/Folkmängd!L17*100000</f>
        <v>56.430871854349121</v>
      </c>
      <c r="M73" s="80">
        <f>M58/[1]Folkmängd!M17*100000</f>
        <v>51.389787714270227</v>
      </c>
    </row>
    <row r="74" spans="2:13" x14ac:dyDescent="0.25">
      <c r="B74" s="12" t="s">
        <v>30</v>
      </c>
      <c r="C74" s="80">
        <f>C58/Folkmängd!C18*100000</f>
        <v>56.92516530192232</v>
      </c>
      <c r="D74" s="80">
        <f>D58/Folkmängd!D18*100000</f>
        <v>54.11362623210659</v>
      </c>
      <c r="E74" s="80">
        <f>E58/Folkmängd!E18*100000</f>
        <v>45.271074359886633</v>
      </c>
      <c r="F74" s="80">
        <f>F58/Folkmängd!F18*100000</f>
        <v>48.90122613960007</v>
      </c>
      <c r="G74" s="80">
        <f>G58/Folkmängd!G18*100000</f>
        <v>47.986019176873192</v>
      </c>
      <c r="H74" s="80">
        <v>49.38499850136278</v>
      </c>
      <c r="I74" s="80">
        <f>I58/Folkmängd!I18*100000</f>
        <v>42.989249863010599</v>
      </c>
      <c r="J74" s="80">
        <f>J58/Folkmängd!J18*100000</f>
        <v>44.209010376837156</v>
      </c>
      <c r="K74" s="80">
        <f>K58/Folkmängd!K18*100000</f>
        <v>45.29797186757537</v>
      </c>
      <c r="L74" s="80">
        <f>L58/Folkmängd!L18*100000</f>
        <v>45.903981152290143</v>
      </c>
      <c r="M74" s="80">
        <f>M58/[1]Folkmängd!M18*100000</f>
        <v>40.403939133420721</v>
      </c>
    </row>
    <row r="75" spans="2:13" x14ac:dyDescent="0.25">
      <c r="B75" s="7"/>
      <c r="C75" s="80"/>
      <c r="D75" s="80"/>
      <c r="E75" s="80"/>
      <c r="F75" s="80"/>
      <c r="G75" s="80"/>
      <c r="H75" s="80"/>
      <c r="I75" s="80"/>
      <c r="K75" s="80"/>
    </row>
    <row r="76" spans="2:13" x14ac:dyDescent="0.25">
      <c r="B76" s="6" t="s">
        <v>254</v>
      </c>
      <c r="C76" s="80"/>
      <c r="D76" s="80"/>
      <c r="E76" s="80"/>
      <c r="F76" s="80"/>
      <c r="G76" s="80"/>
      <c r="H76" s="80"/>
      <c r="I76" s="80"/>
      <c r="K76" s="80"/>
    </row>
    <row r="77" spans="2:13" x14ac:dyDescent="0.25">
      <c r="B77" s="6" t="s">
        <v>255</v>
      </c>
      <c r="C77" s="80"/>
      <c r="D77" s="80"/>
      <c r="E77" s="80"/>
      <c r="F77" s="80"/>
      <c r="G77" s="80"/>
      <c r="H77" s="80"/>
      <c r="I77" s="80"/>
      <c r="K77" s="80"/>
    </row>
    <row r="78" spans="2:13" x14ac:dyDescent="0.25">
      <c r="B78" s="6"/>
      <c r="C78" s="80"/>
      <c r="D78" s="80"/>
      <c r="E78" s="80"/>
      <c r="F78" s="80"/>
      <c r="G78" s="80"/>
      <c r="H78" s="80"/>
      <c r="I78" s="80"/>
      <c r="K78" s="80"/>
    </row>
    <row r="79" spans="2:13" x14ac:dyDescent="0.25">
      <c r="B79" s="6"/>
      <c r="C79" s="80"/>
      <c r="D79" s="80"/>
      <c r="E79" s="80"/>
      <c r="F79" s="80"/>
      <c r="G79" s="80"/>
      <c r="H79" s="80"/>
      <c r="I79" s="80"/>
      <c r="K79" s="80"/>
    </row>
    <row r="80" spans="2:13" x14ac:dyDescent="0.25">
      <c r="B80" s="7"/>
    </row>
    <row r="83" spans="2:15" ht="18.75" x14ac:dyDescent="0.3">
      <c r="B83" s="15" t="s">
        <v>37</v>
      </c>
      <c r="C83" s="16">
        <v>2014</v>
      </c>
      <c r="D83" s="16">
        <v>2015</v>
      </c>
      <c r="E83" s="16">
        <v>2016</v>
      </c>
      <c r="F83" s="16">
        <v>2017</v>
      </c>
      <c r="G83" s="16">
        <v>2018</v>
      </c>
      <c r="H83" s="16">
        <v>2019</v>
      </c>
      <c r="I83" s="16">
        <v>2020</v>
      </c>
      <c r="J83" s="16">
        <v>2021</v>
      </c>
      <c r="K83" s="16">
        <v>2022</v>
      </c>
      <c r="L83" s="16">
        <v>2023</v>
      </c>
      <c r="M83" s="16">
        <v>2024</v>
      </c>
    </row>
    <row r="84" spans="2:15" x14ac:dyDescent="0.25">
      <c r="B84" s="2" t="s">
        <v>229</v>
      </c>
      <c r="C84" s="20">
        <v>3717.0356000000006</v>
      </c>
      <c r="D84" s="20">
        <v>3746.3289</v>
      </c>
      <c r="E84" s="20">
        <v>3849.7786000000001</v>
      </c>
      <c r="F84" s="20">
        <v>3651.5587</v>
      </c>
      <c r="G84" s="10">
        <v>3424.9506999999994</v>
      </c>
      <c r="H84" s="10">
        <v>3218.7125000000001</v>
      </c>
      <c r="I84" s="10">
        <v>2931.9835000000003</v>
      </c>
      <c r="J84" s="10">
        <v>3066.98</v>
      </c>
      <c r="K84" s="10">
        <v>3072.1480999999999</v>
      </c>
      <c r="L84" s="10">
        <v>2988.98</v>
      </c>
      <c r="M84" s="10">
        <v>3032.78</v>
      </c>
      <c r="O84" s="91"/>
    </row>
    <row r="85" spans="2:15" x14ac:dyDescent="0.25">
      <c r="B85" s="2" t="s">
        <v>16</v>
      </c>
      <c r="C85" s="2"/>
      <c r="D85" s="2"/>
      <c r="E85" s="2"/>
      <c r="F85" s="2"/>
      <c r="G85" s="2"/>
      <c r="H85" s="2"/>
      <c r="I85" s="2"/>
      <c r="J85" s="2"/>
      <c r="K85" s="2"/>
      <c r="L85" s="2"/>
      <c r="M85" s="2"/>
      <c r="N85" s="91"/>
    </row>
    <row r="86" spans="2:15" x14ac:dyDescent="0.25">
      <c r="B86" s="11" t="s">
        <v>253</v>
      </c>
      <c r="C86" s="125">
        <v>1048.7258000000002</v>
      </c>
      <c r="D86" s="125">
        <v>1000.1182</v>
      </c>
      <c r="E86" s="125">
        <v>997.4477999999998</v>
      </c>
      <c r="F86" s="126">
        <v>908.55060000000003</v>
      </c>
      <c r="G86" s="127">
        <v>831.07950000000005</v>
      </c>
      <c r="H86" s="127">
        <v>811.57279999999992</v>
      </c>
      <c r="I86" s="127">
        <v>735.69730000000004</v>
      </c>
      <c r="J86" s="127">
        <v>593.29999999999995</v>
      </c>
      <c r="K86" s="127">
        <v>615.82769999999994</v>
      </c>
      <c r="L86" s="127">
        <v>690.51509999999996</v>
      </c>
      <c r="M86" s="127">
        <v>765.47</v>
      </c>
    </row>
    <row r="87" spans="2:15" x14ac:dyDescent="0.25">
      <c r="B87" s="13" t="s">
        <v>42</v>
      </c>
      <c r="C87" s="8">
        <f t="shared" ref="C87:G87" si="14">C86/C84*100</f>
        <v>28.214037013796695</v>
      </c>
      <c r="D87" s="8">
        <f t="shared" si="14"/>
        <v>26.695952936753631</v>
      </c>
      <c r="E87" s="8">
        <f t="shared" si="14"/>
        <v>25.90922501361506</v>
      </c>
      <c r="F87" s="8">
        <f t="shared" si="14"/>
        <v>24.881171977325739</v>
      </c>
      <c r="G87" s="8">
        <f t="shared" si="14"/>
        <v>24.265444171210994</v>
      </c>
      <c r="H87" s="8">
        <f t="shared" ref="H87:I87" si="15">H86/H84*100</f>
        <v>25.214205990749406</v>
      </c>
      <c r="I87" s="8">
        <f t="shared" si="15"/>
        <v>25.092136432554955</v>
      </c>
      <c r="J87" s="8">
        <f t="shared" ref="J87:K87" si="16">J86/J84*100</f>
        <v>19.344762600343007</v>
      </c>
      <c r="K87" s="8">
        <f t="shared" si="16"/>
        <v>20.04550822273184</v>
      </c>
      <c r="L87" s="8">
        <f t="shared" ref="L87:M87" si="17">L86/L84*100</f>
        <v>23.102031462237953</v>
      </c>
      <c r="M87" s="8">
        <f t="shared" si="17"/>
        <v>25.239878922968366</v>
      </c>
    </row>
    <row r="88" spans="2:15" x14ac:dyDescent="0.25">
      <c r="B88" s="11" t="s">
        <v>45</v>
      </c>
      <c r="C88" s="9">
        <v>2503.5312999999996</v>
      </c>
      <c r="D88" s="9">
        <v>2582.8494000000001</v>
      </c>
      <c r="E88" s="9">
        <v>2672.1417999999999</v>
      </c>
      <c r="F88" s="9">
        <v>2563.7757000000001</v>
      </c>
      <c r="G88" s="10">
        <v>2420.4220999999998</v>
      </c>
      <c r="H88" s="10">
        <v>2264.1894000000007</v>
      </c>
      <c r="I88" s="10">
        <v>2052.1285000000003</v>
      </c>
      <c r="J88" s="10">
        <v>2315.5500000000002</v>
      </c>
      <c r="K88" s="10">
        <v>2285.3997999999997</v>
      </c>
      <c r="L88" s="10">
        <v>2142.6491999999998</v>
      </c>
      <c r="M88" s="10">
        <v>2117.6799999999998</v>
      </c>
    </row>
    <row r="89" spans="2:15" x14ac:dyDescent="0.25">
      <c r="B89" s="13" t="s">
        <v>42</v>
      </c>
      <c r="C89" s="8">
        <f t="shared" ref="C89:G89" si="18">C88/C84*100</f>
        <v>67.352900790081193</v>
      </c>
      <c r="D89" s="8">
        <f t="shared" si="18"/>
        <v>68.943476906152043</v>
      </c>
      <c r="E89" s="8">
        <f t="shared" si="18"/>
        <v>69.410272060840057</v>
      </c>
      <c r="F89" s="8">
        <f t="shared" si="18"/>
        <v>70.210447390589664</v>
      </c>
      <c r="G89" s="8">
        <f t="shared" si="18"/>
        <v>70.670275633456569</v>
      </c>
      <c r="H89" s="8">
        <f t="shared" ref="H89:I89" si="19">H88/H84*100</f>
        <v>70.344567897878434</v>
      </c>
      <c r="I89" s="8">
        <f t="shared" si="19"/>
        <v>69.991133988305194</v>
      </c>
      <c r="J89" s="8">
        <f t="shared" ref="J89:K89" si="20">J88/J84*100</f>
        <v>75.499351153251737</v>
      </c>
      <c r="K89" s="8">
        <f t="shared" si="20"/>
        <v>74.390938379565739</v>
      </c>
      <c r="L89" s="8">
        <f t="shared" ref="L89:M89" si="21">L88/L84*100</f>
        <v>71.684962763216873</v>
      </c>
      <c r="M89" s="8">
        <f t="shared" si="21"/>
        <v>69.826363930123506</v>
      </c>
    </row>
    <row r="90" spans="2:15" x14ac:dyDescent="0.25">
      <c r="B90" s="11" t="s">
        <v>43</v>
      </c>
      <c r="C90" s="74">
        <v>78.466000000000008</v>
      </c>
      <c r="D90" s="74">
        <v>71.317900000000009</v>
      </c>
      <c r="E90" s="74">
        <v>91.459000000000003</v>
      </c>
      <c r="F90" s="74">
        <v>82.260400000000004</v>
      </c>
      <c r="G90" s="127">
        <v>65.342500000000001</v>
      </c>
      <c r="H90" s="127">
        <v>26.638199999999998</v>
      </c>
      <c r="I90" s="127">
        <v>16.0626</v>
      </c>
      <c r="J90" s="127">
        <v>12.41</v>
      </c>
      <c r="K90" s="127">
        <v>15.4467</v>
      </c>
      <c r="L90" s="127">
        <v>3.778</v>
      </c>
      <c r="M90" s="127">
        <v>7.62</v>
      </c>
    </row>
    <row r="91" spans="2:15" x14ac:dyDescent="0.25">
      <c r="B91" s="11" t="s">
        <v>44</v>
      </c>
      <c r="C91" s="128">
        <v>86.312400000000011</v>
      </c>
      <c r="D91" s="128">
        <v>92.044200000000004</v>
      </c>
      <c r="E91" s="128">
        <v>88.729699999999994</v>
      </c>
      <c r="F91" s="128">
        <v>96.972699999999989</v>
      </c>
      <c r="G91" s="127">
        <v>108.10670000000002</v>
      </c>
      <c r="H91" s="127">
        <v>116.31229999999999</v>
      </c>
      <c r="I91" s="127">
        <v>128.09539999999998</v>
      </c>
      <c r="J91" s="127">
        <v>145.72</v>
      </c>
      <c r="K91" s="127">
        <v>155.47379999999998</v>
      </c>
      <c r="L91" s="127">
        <v>152.03560000000002</v>
      </c>
      <c r="M91" s="127">
        <v>141.80000000000001</v>
      </c>
    </row>
    <row r="92" spans="2:15" x14ac:dyDescent="0.25">
      <c r="B92" s="11" t="s">
        <v>46</v>
      </c>
      <c r="C92" s="2"/>
      <c r="D92" s="2"/>
      <c r="E92" s="2"/>
      <c r="F92" s="2"/>
      <c r="G92" s="2"/>
      <c r="H92" s="2"/>
      <c r="I92" s="2"/>
      <c r="J92" s="2"/>
      <c r="K92" s="2"/>
      <c r="L92" s="2"/>
      <c r="M92" s="2"/>
    </row>
    <row r="93" spans="2:15" x14ac:dyDescent="0.25">
      <c r="B93" s="2"/>
      <c r="C93" s="2"/>
      <c r="D93" s="2"/>
      <c r="E93" s="2"/>
      <c r="F93" s="2"/>
      <c r="G93" s="2"/>
      <c r="H93" s="2"/>
      <c r="I93" s="2"/>
      <c r="J93" s="2"/>
      <c r="K93" s="2"/>
      <c r="L93" s="2"/>
      <c r="M93" s="2"/>
    </row>
    <row r="94" spans="2:15" x14ac:dyDescent="0.25">
      <c r="B94" s="14" t="s">
        <v>39</v>
      </c>
      <c r="C94" s="23"/>
      <c r="D94" s="23"/>
      <c r="E94" s="2"/>
      <c r="F94" s="2"/>
      <c r="G94" s="2"/>
      <c r="H94" s="2"/>
      <c r="I94" s="2"/>
      <c r="J94" s="2"/>
      <c r="K94" s="2"/>
      <c r="L94" s="2"/>
      <c r="M94" s="2"/>
    </row>
    <row r="95" spans="2:15" x14ac:dyDescent="0.25">
      <c r="B95" s="12" t="s">
        <v>29</v>
      </c>
      <c r="C95" s="8">
        <f>C88/Folkmängd!C23*100000</f>
        <v>59.918737947892048</v>
      </c>
      <c r="D95" s="8">
        <f>D88/Folkmängd!D23*100000</f>
        <v>61.011100037818231</v>
      </c>
      <c r="E95" s="8">
        <f>E88/Folkmängd!E23*100000</f>
        <v>62.432782013210179</v>
      </c>
      <c r="F95" s="8">
        <f>F88/Folkmängd!F23*100000</f>
        <v>59.338322138532853</v>
      </c>
      <c r="G95" s="8">
        <f>G88/Folkmängd!G23*100000</f>
        <v>55.556509134812359</v>
      </c>
      <c r="H95" s="8">
        <f>H88/Folkmängd!H23*100000</f>
        <v>51.53786692051041</v>
      </c>
      <c r="I95" s="8">
        <f>I88/Folkmängd!I23*100000</f>
        <v>46.245639108740988</v>
      </c>
      <c r="J95" s="8">
        <f>J88/Folkmängd!J23*100000</f>
        <v>51.804586268042847</v>
      </c>
      <c r="K95" s="8">
        <f>K88/Folkmängd!K23*100000</f>
        <v>50.682110659277754</v>
      </c>
      <c r="L95" s="8">
        <f>L88/Folkmängd!L23*100000</f>
        <v>46.855195491193037</v>
      </c>
      <c r="M95" s="8">
        <f>M88/Folkmängd!M23*100000</f>
        <v>45.648755409214118</v>
      </c>
    </row>
    <row r="96" spans="2:15" x14ac:dyDescent="0.25">
      <c r="B96" s="12" t="s">
        <v>30</v>
      </c>
      <c r="C96" s="8">
        <f>C88/Folkmängd!C24*100000</f>
        <v>49.001837129990349</v>
      </c>
      <c r="D96" s="8">
        <f>D88/Folkmängd!D24*100000</f>
        <v>49.999001123155708</v>
      </c>
      <c r="E96" s="8">
        <f>E88/Folkmängd!E24*100000</f>
        <v>51.249510690959021</v>
      </c>
      <c r="F96" s="8">
        <f>F88/Folkmängd!F24*100000</f>
        <v>48.756583142476963</v>
      </c>
      <c r="G96" s="8">
        <f>G88/Folkmängd!G24*100000</f>
        <v>45.70612236265486</v>
      </c>
      <c r="H96" s="8">
        <f>H88/Folkmängd!H24*100000</f>
        <v>42.494356455786679</v>
      </c>
      <c r="I96" s="8">
        <f>I88/Folkmängd!I24*100000</f>
        <v>38.231912705539564</v>
      </c>
      <c r="J96" s="8">
        <f>J88/Folkmängd!J24*100000</f>
        <v>42.949202697867655</v>
      </c>
      <c r="K96" s="8">
        <f>K88/Folkmängd!K24*100000</f>
        <v>42.125088705262584</v>
      </c>
      <c r="L96" s="8">
        <f>L88/Folkmängd!L24*100000</f>
        <v>39.03544262471889</v>
      </c>
      <c r="M96" s="8">
        <f>M88/Folkmängd!M24*100000</f>
        <v>38.155000817087227</v>
      </c>
    </row>
    <row r="97" spans="2:13" x14ac:dyDescent="0.25">
      <c r="B97" s="14"/>
      <c r="C97" s="2"/>
      <c r="D97" s="2"/>
      <c r="E97" s="2"/>
      <c r="F97" s="2"/>
      <c r="G97" s="2"/>
      <c r="H97" s="2"/>
      <c r="I97" s="2"/>
      <c r="J97" s="2"/>
      <c r="K97" s="2"/>
      <c r="L97" s="2"/>
      <c r="M97" s="2"/>
    </row>
    <row r="98" spans="2:13" x14ac:dyDescent="0.25">
      <c r="B98" s="14" t="s">
        <v>40</v>
      </c>
      <c r="C98" s="2"/>
      <c r="D98" s="2"/>
      <c r="E98" s="2"/>
      <c r="F98" s="2"/>
      <c r="G98" s="2"/>
      <c r="H98" s="2"/>
      <c r="I98" s="2"/>
      <c r="J98" s="2"/>
      <c r="K98" s="2"/>
      <c r="L98" s="2"/>
      <c r="M98" s="2"/>
    </row>
    <row r="99" spans="2:13" x14ac:dyDescent="0.25">
      <c r="B99" s="12" t="s">
        <v>29</v>
      </c>
      <c r="C99" s="8">
        <f>C84/Folkmängd!C23*100000</f>
        <v>88.962371694488397</v>
      </c>
      <c r="D99" s="8">
        <f>D84/Folkmängd!D23*100000</f>
        <v>88.49437651783704</v>
      </c>
      <c r="E99" s="8">
        <f>E84/Folkmängd!E23*100000</f>
        <v>89.947467657936983</v>
      </c>
      <c r="F99" s="8">
        <f>F84/Folkmängd!F23*100000</f>
        <v>84.514946626712415</v>
      </c>
      <c r="G99" s="8">
        <f>G84/Folkmängd!G23*100000</f>
        <v>78.613686782496316</v>
      </c>
      <c r="H99" s="8">
        <f>H84/Folkmängd!H23*100000</f>
        <v>73.264885208094043</v>
      </c>
      <c r="I99" s="8">
        <f>I84/Folkmängd!I23*100000</f>
        <v>66.073567427080363</v>
      </c>
      <c r="J99" s="8">
        <f>J84/Folkmängd!J23*100000</f>
        <v>68.615935735510803</v>
      </c>
      <c r="K99" s="8">
        <f>K84/Folkmängd!K23*100000</f>
        <v>68.129414365875903</v>
      </c>
      <c r="L99" s="8">
        <f>L84/Folkmängd!L23*100000</f>
        <v>65.362655827779079</v>
      </c>
      <c r="M99" s="8">
        <f>M84/Folkmängd!M23*100000</f>
        <v>65.37467059704791</v>
      </c>
    </row>
    <row r="100" spans="2:13" x14ac:dyDescent="0.25">
      <c r="B100" s="12" t="s">
        <v>30</v>
      </c>
      <c r="C100" s="8">
        <f>C84/Folkmängd!C24*100000</f>
        <v>72.753862944543982</v>
      </c>
      <c r="D100" s="8">
        <f>D84/Folkmängd!D24*100000</f>
        <v>72.521728475075122</v>
      </c>
      <c r="E100" s="8">
        <f>E84/Folkmängd!E24*100000</f>
        <v>73.835628602690647</v>
      </c>
      <c r="F100" s="8">
        <f>F84/Folkmängd!F24*100000</f>
        <v>69.443487336347346</v>
      </c>
      <c r="G100" s="8">
        <f>G84/Folkmängd!G24*100000</f>
        <v>64.675172062038442</v>
      </c>
      <c r="H100" s="8">
        <f>H84/Folkmängd!H24*100000</f>
        <v>60.4088669895267</v>
      </c>
      <c r="I100" s="8">
        <f>I84/Folkmängd!I24*100000</f>
        <v>54.623936671647186</v>
      </c>
      <c r="J100" s="8">
        <f>J84/Folkmängd!J24*100000</f>
        <v>56.886850074628541</v>
      </c>
      <c r="K100" s="8">
        <f>K84/Folkmängd!K24*100000</f>
        <v>56.626639780139975</v>
      </c>
      <c r="L100" s="8">
        <f>L84/Folkmängd!L24*100000</f>
        <v>54.454157636458774</v>
      </c>
      <c r="M100" s="8">
        <f>M84/Folkmängd!M24*100000</f>
        <v>54.642686042294308</v>
      </c>
    </row>
    <row r="101" spans="2:13" x14ac:dyDescent="0.25">
      <c r="B101" s="7"/>
    </row>
    <row r="102" spans="2:13" x14ac:dyDescent="0.25">
      <c r="B102" s="6" t="s">
        <v>230</v>
      </c>
    </row>
    <row r="103" spans="2:13" x14ac:dyDescent="0.25">
      <c r="B103" s="6" t="s">
        <v>256</v>
      </c>
    </row>
    <row r="104" spans="2:13" x14ac:dyDescent="0.25">
      <c r="B104" s="6"/>
    </row>
    <row r="105" spans="2:13" x14ac:dyDescent="0.25">
      <c r="B105" s="6"/>
    </row>
    <row r="106" spans="2:13" x14ac:dyDescent="0.25">
      <c r="B106" s="7"/>
    </row>
    <row r="109" spans="2:13" ht="18.75" x14ac:dyDescent="0.3">
      <c r="B109" s="15" t="s">
        <v>38</v>
      </c>
      <c r="C109" s="16">
        <v>2014</v>
      </c>
      <c r="D109" s="16">
        <v>2015</v>
      </c>
      <c r="E109" s="16">
        <v>2016</v>
      </c>
      <c r="F109" s="16">
        <v>2017</v>
      </c>
      <c r="G109" s="16">
        <v>2018</v>
      </c>
      <c r="H109" s="16">
        <v>2019</v>
      </c>
      <c r="I109" s="16">
        <v>2020</v>
      </c>
      <c r="J109" s="16">
        <v>2021</v>
      </c>
      <c r="K109" s="16">
        <v>2022</v>
      </c>
      <c r="L109" s="16">
        <v>2023</v>
      </c>
      <c r="M109" s="16">
        <v>2024</v>
      </c>
    </row>
    <row r="110" spans="2:13" x14ac:dyDescent="0.25">
      <c r="B110" s="2" t="s">
        <v>229</v>
      </c>
      <c r="C110" s="10">
        <f t="shared" ref="C110:G110" si="22">C112+C114+C118</f>
        <v>5749</v>
      </c>
      <c r="D110" s="10">
        <f t="shared" si="22"/>
        <v>5664</v>
      </c>
      <c r="E110" s="10">
        <f t="shared" si="22"/>
        <v>5640</v>
      </c>
      <c r="F110" s="10">
        <f t="shared" si="22"/>
        <v>5685.49</v>
      </c>
      <c r="G110" s="10">
        <f t="shared" si="22"/>
        <v>6067.95</v>
      </c>
      <c r="H110" s="10">
        <f t="shared" ref="H110:M110" si="23">H112+H114+H118</f>
        <v>6559</v>
      </c>
      <c r="I110" s="10">
        <f t="shared" si="23"/>
        <v>7080.1899999999987</v>
      </c>
      <c r="J110" s="10">
        <f t="shared" si="23"/>
        <v>7591.36</v>
      </c>
      <c r="K110" s="10">
        <f t="shared" si="23"/>
        <v>8196.6</v>
      </c>
      <c r="L110" s="10">
        <f t="shared" si="23"/>
        <v>9206.7999999999993</v>
      </c>
      <c r="M110" s="10">
        <f t="shared" si="23"/>
        <v>10750.23</v>
      </c>
    </row>
    <row r="111" spans="2:13" x14ac:dyDescent="0.25">
      <c r="B111" s="2" t="s">
        <v>16</v>
      </c>
      <c r="C111" s="2"/>
      <c r="D111" s="2"/>
      <c r="E111" s="2"/>
      <c r="F111" s="2"/>
      <c r="G111" s="2"/>
      <c r="H111" s="2"/>
      <c r="I111" s="2"/>
      <c r="J111" s="2"/>
      <c r="K111" s="2"/>
      <c r="L111" s="2"/>
      <c r="M111" s="2"/>
    </row>
    <row r="112" spans="2:13" x14ac:dyDescent="0.25">
      <c r="B112" s="11" t="s">
        <v>41</v>
      </c>
      <c r="C112" s="10">
        <v>1490</v>
      </c>
      <c r="D112" s="10">
        <v>1442</v>
      </c>
      <c r="E112" s="10">
        <v>1460</v>
      </c>
      <c r="F112" s="10">
        <v>1502.51</v>
      </c>
      <c r="G112" s="10">
        <v>1690.71</v>
      </c>
      <c r="H112" s="10">
        <v>1860.09</v>
      </c>
      <c r="I112" s="10">
        <v>2051.89</v>
      </c>
      <c r="J112" s="10">
        <v>2172.81</v>
      </c>
      <c r="K112" s="10">
        <v>2208.84</v>
      </c>
      <c r="L112" s="10">
        <v>2643.53</v>
      </c>
      <c r="M112" s="10">
        <v>3056.49</v>
      </c>
    </row>
    <row r="113" spans="2:19" x14ac:dyDescent="0.25">
      <c r="B113" s="13" t="s">
        <v>42</v>
      </c>
      <c r="C113" s="8">
        <f t="shared" ref="C113:K113" si="24">C112/C110*100</f>
        <v>25.917550878413635</v>
      </c>
      <c r="D113" s="8">
        <f t="shared" si="24"/>
        <v>25.459039548022599</v>
      </c>
      <c r="E113" s="8">
        <f t="shared" si="24"/>
        <v>25.886524822695034</v>
      </c>
      <c r="F113" s="8">
        <f t="shared" si="24"/>
        <v>26.427097752348523</v>
      </c>
      <c r="G113" s="8">
        <f t="shared" si="24"/>
        <v>27.862952067831809</v>
      </c>
      <c r="H113" s="8">
        <f t="shared" si="24"/>
        <v>28.359353559993899</v>
      </c>
      <c r="I113" s="8">
        <f t="shared" si="24"/>
        <v>28.980719443969726</v>
      </c>
      <c r="J113" s="8">
        <f t="shared" si="24"/>
        <v>28.622144121738398</v>
      </c>
      <c r="K113" s="8">
        <f t="shared" si="24"/>
        <v>26.948246834053148</v>
      </c>
      <c r="L113" s="8">
        <f t="shared" ref="L113:M113" si="25">L112/L110*100</f>
        <v>28.712799235347791</v>
      </c>
      <c r="M113" s="8">
        <f t="shared" si="25"/>
        <v>28.431856806784602</v>
      </c>
      <c r="N113" s="94"/>
      <c r="O113" s="94"/>
      <c r="P113" s="94"/>
      <c r="Q113" s="94"/>
      <c r="R113" s="94"/>
      <c r="S113" s="94"/>
    </row>
    <row r="114" spans="2:19" x14ac:dyDescent="0.25">
      <c r="B114" s="11" t="s">
        <v>310</v>
      </c>
      <c r="C114" s="10">
        <v>4172</v>
      </c>
      <c r="D114" s="10">
        <v>4091</v>
      </c>
      <c r="E114" s="10">
        <v>4050</v>
      </c>
      <c r="F114" s="18">
        <v>4044.86</v>
      </c>
      <c r="G114" s="18">
        <v>4228.9799999999996</v>
      </c>
      <c r="H114" s="18">
        <v>4560.6899999999996</v>
      </c>
      <c r="I114" s="18">
        <v>4888.8999999999996</v>
      </c>
      <c r="J114" s="18">
        <v>5267.17</v>
      </c>
      <c r="K114" s="18">
        <v>5851.2</v>
      </c>
      <c r="L114" s="18">
        <v>6458.29</v>
      </c>
      <c r="M114" s="18">
        <v>7578.04</v>
      </c>
    </row>
    <row r="115" spans="2:19" x14ac:dyDescent="0.25">
      <c r="B115" s="13" t="s">
        <v>42</v>
      </c>
      <c r="C115" s="8">
        <f t="shared" ref="C115:K115" si="26">C114/C110*100</f>
        <v>72.569142459558194</v>
      </c>
      <c r="D115" s="8">
        <f t="shared" si="26"/>
        <v>72.228107344632761</v>
      </c>
      <c r="E115" s="8">
        <f t="shared" si="26"/>
        <v>71.808510638297875</v>
      </c>
      <c r="F115" s="8">
        <f t="shared" si="26"/>
        <v>71.143560185665621</v>
      </c>
      <c r="G115" s="8">
        <f t="shared" si="26"/>
        <v>69.693718636442284</v>
      </c>
      <c r="H115" s="8">
        <f t="shared" si="26"/>
        <v>69.533313005031246</v>
      </c>
      <c r="I115" s="8">
        <f t="shared" si="26"/>
        <v>69.050406839364484</v>
      </c>
      <c r="J115" s="8">
        <f t="shared" si="26"/>
        <v>69.383746785819682</v>
      </c>
      <c r="K115" s="8">
        <f t="shared" si="26"/>
        <v>71.385696508308314</v>
      </c>
      <c r="L115" s="8">
        <f t="shared" ref="L115:M115" si="27">L114/L110*100</f>
        <v>70.146956597297645</v>
      </c>
      <c r="M115" s="8">
        <f t="shared" si="27"/>
        <v>70.491887150321446</v>
      </c>
    </row>
    <row r="116" spans="2:19" x14ac:dyDescent="0.25">
      <c r="B116" s="11" t="s">
        <v>43</v>
      </c>
      <c r="C116" s="2"/>
      <c r="D116" s="2"/>
      <c r="E116" s="2"/>
      <c r="F116" s="2"/>
      <c r="G116" s="2"/>
      <c r="H116" s="2"/>
      <c r="I116" s="2"/>
      <c r="J116" s="2"/>
      <c r="K116" s="2"/>
      <c r="L116" s="2"/>
      <c r="M116" s="2"/>
      <c r="N116" s="8"/>
      <c r="O116" s="8"/>
      <c r="P116" s="8"/>
      <c r="Q116" s="8"/>
      <c r="R116" s="8"/>
      <c r="S116" s="8"/>
    </row>
    <row r="117" spans="2:19" x14ac:dyDescent="0.25">
      <c r="B117" s="11" t="s">
        <v>44</v>
      </c>
      <c r="C117" s="2"/>
      <c r="D117" s="2"/>
      <c r="E117" s="2"/>
      <c r="F117" s="2"/>
      <c r="G117" s="2"/>
      <c r="H117" s="2"/>
      <c r="I117" s="2"/>
      <c r="J117" s="2"/>
      <c r="K117" s="2"/>
      <c r="L117" s="2"/>
      <c r="M117" s="2"/>
    </row>
    <row r="118" spans="2:19" x14ac:dyDescent="0.25">
      <c r="B118" s="11" t="s">
        <v>311</v>
      </c>
      <c r="C118" s="2">
        <v>87</v>
      </c>
      <c r="D118" s="2">
        <v>131</v>
      </c>
      <c r="E118" s="2">
        <v>130</v>
      </c>
      <c r="F118" s="88">
        <v>138.12</v>
      </c>
      <c r="G118" s="88">
        <v>148.26</v>
      </c>
      <c r="H118" s="88">
        <v>138.22</v>
      </c>
      <c r="I118" s="88">
        <v>139.4</v>
      </c>
      <c r="J118" s="88">
        <v>151.38</v>
      </c>
      <c r="K118" s="88">
        <v>136.56</v>
      </c>
      <c r="L118" s="88">
        <v>104.98</v>
      </c>
      <c r="M118" s="88">
        <v>115.7</v>
      </c>
    </row>
    <row r="119" spans="2:19" x14ac:dyDescent="0.25">
      <c r="B119" s="2"/>
      <c r="C119" s="2"/>
      <c r="D119" s="2"/>
      <c r="E119" s="2"/>
      <c r="F119" s="19"/>
      <c r="G119" s="19"/>
      <c r="H119" s="19"/>
      <c r="I119" s="19"/>
      <c r="J119" s="19"/>
      <c r="K119" s="19"/>
      <c r="L119" s="19"/>
      <c r="M119" s="19"/>
    </row>
    <row r="120" spans="2:19" x14ac:dyDescent="0.25">
      <c r="B120" s="14" t="s">
        <v>39</v>
      </c>
      <c r="C120" s="2"/>
      <c r="D120" s="2"/>
      <c r="E120" s="2"/>
      <c r="F120" s="19"/>
      <c r="G120" s="19"/>
      <c r="H120" s="19"/>
      <c r="I120" s="19"/>
      <c r="J120" s="19"/>
      <c r="K120" s="19"/>
      <c r="L120" s="19"/>
      <c r="M120" s="19"/>
    </row>
    <row r="121" spans="2:19" x14ac:dyDescent="0.25">
      <c r="B121" s="12" t="s">
        <v>29</v>
      </c>
      <c r="C121" s="8">
        <f>C114/Folkmängd!C29*100000</f>
        <v>51.727630961293293</v>
      </c>
      <c r="D121" s="8">
        <f>D114/Folkmängd!D29*100000</f>
        <v>50.295836891498446</v>
      </c>
      <c r="E121" s="8">
        <f>E114/Folkmängd!E29*100000</f>
        <v>49.185350926548786</v>
      </c>
      <c r="F121" s="8">
        <f>F114/Folkmängd!F29*100000</f>
        <v>48.583609640907255</v>
      </c>
      <c r="G121" s="8">
        <f>G114/Folkmängd!G29*100000</f>
        <v>50.282410371090457</v>
      </c>
      <c r="H121" s="8">
        <f>H114/Folkmängd!H29*100000</f>
        <v>53.700866431297776</v>
      </c>
      <c r="I121" s="8">
        <f>I114/Folkmängd!I29*100000</f>
        <v>57.237039362069666</v>
      </c>
      <c r="J121" s="8">
        <f>J114/Folkmängd!J29*100000</f>
        <v>61.152137823437293</v>
      </c>
      <c r="K121" s="8">
        <f>K114/Folkmängd!K29*100000</f>
        <v>67.313487558129381</v>
      </c>
      <c r="L121" s="8">
        <f>L114/Folkmängd!L29*100000</f>
        <v>73.824839742820345</v>
      </c>
      <c r="M121" s="8">
        <f>M114/Folkmängd!M29*100000</f>
        <v>86.023746424493737</v>
      </c>
    </row>
    <row r="122" spans="2:19" x14ac:dyDescent="0.25">
      <c r="B122" s="12" t="s">
        <v>30</v>
      </c>
      <c r="C122" s="8">
        <f>C114/Folkmängd!C30*100000</f>
        <v>42.801354829079273</v>
      </c>
      <c r="D122" s="8">
        <f>D114/Folkmängd!D30*100000</f>
        <v>41.528707137547322</v>
      </c>
      <c r="E122" s="8">
        <f>E114/Folkmängd!E30*100000</f>
        <v>40.519639869444724</v>
      </c>
      <c r="F122" s="8">
        <f>F114/Folkmängd!F30*100000</f>
        <v>39.968016575097707</v>
      </c>
      <c r="G122" s="8">
        <f>G114/Folkmängd!G30*100000</f>
        <v>41.338255368793426</v>
      </c>
      <c r="H122" s="8">
        <f>H114/Folkmängd!H30*100000</f>
        <v>44.16025850757616</v>
      </c>
      <c r="I122" s="8">
        <f>I114/Folkmängd!I30*100000</f>
        <v>47.102428440467293</v>
      </c>
      <c r="J122" s="8">
        <f>J114/Folkmängd!J30*100000</f>
        <v>50.392324158278264</v>
      </c>
      <c r="K122" s="8">
        <f>K114/Folkmängd!K30*100000</f>
        <v>55.611546429064298</v>
      </c>
      <c r="L122" s="8">
        <f>L114/Folkmängd!L30*100000</f>
        <v>61.206115749802372</v>
      </c>
      <c r="M122" s="8">
        <f>M114/Folkmängd!M30*100000</f>
        <v>71.573928639904196</v>
      </c>
    </row>
    <row r="123" spans="2:19" x14ac:dyDescent="0.25">
      <c r="B123" s="14"/>
      <c r="C123" s="2"/>
      <c r="D123" s="2"/>
      <c r="E123" s="2"/>
      <c r="F123" s="19"/>
      <c r="G123" s="19"/>
      <c r="H123" s="19"/>
      <c r="I123" s="19"/>
      <c r="J123" s="19"/>
      <c r="K123" s="19"/>
      <c r="L123" s="19"/>
      <c r="M123" s="19"/>
    </row>
    <row r="124" spans="2:19" x14ac:dyDescent="0.25">
      <c r="B124" s="14" t="s">
        <v>40</v>
      </c>
      <c r="C124" s="2"/>
      <c r="D124" s="2"/>
      <c r="E124" s="2"/>
      <c r="F124" s="19"/>
      <c r="G124" s="19"/>
      <c r="H124" s="19"/>
      <c r="I124" s="19"/>
      <c r="J124" s="19"/>
      <c r="K124" s="19"/>
      <c r="L124" s="19"/>
      <c r="M124" s="19"/>
    </row>
    <row r="125" spans="2:19" x14ac:dyDescent="0.25">
      <c r="B125" s="12" t="s">
        <v>29</v>
      </c>
      <c r="C125" s="8">
        <f>C110/Folkmängd!C29*100000</f>
        <v>71.280477084485895</v>
      </c>
      <c r="D125" s="8">
        <f>D110/Folkmängd!D29*100000</f>
        <v>69.634715266058947</v>
      </c>
      <c r="E125" s="8">
        <f>E110/Folkmängd!E29*100000</f>
        <v>68.495155364379045</v>
      </c>
      <c r="F125" s="8">
        <f>F110/Folkmängd!F29*100000</f>
        <v>68.28953950873003</v>
      </c>
      <c r="G125" s="8">
        <f>G110/Folkmängd!G29*100000</f>
        <v>72.147693299863889</v>
      </c>
      <c r="H125" s="8">
        <f>H110/Folkmängd!H29*100000</f>
        <v>77.230415336907825</v>
      </c>
      <c r="I125" s="8">
        <f>I110/Folkmängd!I29*100000</f>
        <v>82.891675780018403</v>
      </c>
      <c r="J125" s="8">
        <f>J110/Folkmängd!J29*100000</f>
        <v>88.136113508265126</v>
      </c>
      <c r="K125" s="8">
        <f>K110/Folkmängd!K29*100000</f>
        <v>94.295483339992359</v>
      </c>
      <c r="L125" s="8">
        <f>L110/Folkmängd!L29*100000</f>
        <v>105.24311149610783</v>
      </c>
      <c r="M125" s="8">
        <f>M110/Folkmängd!M29*100000</f>
        <v>122.03354159188724</v>
      </c>
    </row>
    <row r="126" spans="2:19" x14ac:dyDescent="0.25">
      <c r="B126" s="12" t="s">
        <v>30</v>
      </c>
      <c r="C126" s="8">
        <f>C110/Folkmängd!C30*100000</f>
        <v>58.98010280737698</v>
      </c>
      <c r="D126" s="8">
        <f>D110/Folkmängd!D30*100000</f>
        <v>57.496601619913967</v>
      </c>
      <c r="E126" s="8">
        <f>E110/Folkmängd!E30*100000</f>
        <v>56.427350336708209</v>
      </c>
      <c r="F126" s="8">
        <f>F110/Folkmängd!F30*100000</f>
        <v>56.179387805153276</v>
      </c>
      <c r="G126" s="8">
        <f>G110/Folkmängd!G30*100000</f>
        <v>59.314176625349397</v>
      </c>
      <c r="H126" s="8">
        <f>H110/Folkmängd!H30*100000</f>
        <v>63.509498683574648</v>
      </c>
      <c r="I126" s="8">
        <f>I110/Folkmängd!I30*100000</f>
        <v>68.214555998263833</v>
      </c>
      <c r="J126" s="8">
        <f>J110/Folkmängd!J30*100000</f>
        <v>72.628427395012366</v>
      </c>
      <c r="K126" s="8">
        <f>K110/Folkmängd!K30*100000</f>
        <v>77.90292614514432</v>
      </c>
      <c r="L126" s="8">
        <f>L110/Folkmängd!L30*100000</f>
        <v>87.254128644777566</v>
      </c>
      <c r="M126" s="8">
        <f>M110/Folkmängd!M30*100000</f>
        <v>101.53498726353479</v>
      </c>
    </row>
    <row r="127" spans="2:19" x14ac:dyDescent="0.25">
      <c r="B127" s="7"/>
    </row>
    <row r="128" spans="2:19" x14ac:dyDescent="0.25">
      <c r="B128" s="89" t="s">
        <v>360</v>
      </c>
    </row>
    <row r="129" spans="2:9" x14ac:dyDescent="0.25">
      <c r="B129" s="89" t="s">
        <v>309</v>
      </c>
      <c r="I129" s="86"/>
    </row>
    <row r="130" spans="2:9" x14ac:dyDescent="0.25">
      <c r="B130" s="89" t="s">
        <v>399</v>
      </c>
      <c r="I130" s="86"/>
    </row>
    <row r="131" spans="2:9" x14ac:dyDescent="0.25">
      <c r="B131" s="6"/>
    </row>
    <row r="132" spans="2:9" x14ac:dyDescent="0.25">
      <c r="B132"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33"/>
  <sheetViews>
    <sheetView zoomScaleNormal="100" workbookViewId="0">
      <pane ySplit="2" topLeftCell="A3" activePane="bottomLeft" state="frozen"/>
      <selection activeCell="K42" sqref="K42"/>
      <selection pane="bottomLeft"/>
    </sheetView>
  </sheetViews>
  <sheetFormatPr defaultColWidth="9" defaultRowHeight="15" x14ac:dyDescent="0.25"/>
  <cols>
    <col min="1" max="1" width="1.625" style="1" customWidth="1"/>
    <col min="2" max="2" width="55.125" style="1" customWidth="1"/>
    <col min="3" max="8" width="10" style="1" customWidth="1"/>
    <col min="9" max="9" width="10" style="94" customWidth="1"/>
    <col min="10" max="10" width="10" style="1" customWidth="1"/>
    <col min="11" max="16384" width="9" style="1"/>
  </cols>
  <sheetData>
    <row r="2" spans="2:13" ht="18.75" x14ac:dyDescent="0.3">
      <c r="B2" s="4" t="s">
        <v>7</v>
      </c>
    </row>
    <row r="3" spans="2:13" ht="18.75" x14ac:dyDescent="0.3">
      <c r="B3" s="4"/>
      <c r="L3" s="156" t="s">
        <v>363</v>
      </c>
      <c r="M3" s="156" t="s">
        <v>363</v>
      </c>
    </row>
    <row r="4" spans="2:13" ht="18.75" x14ac:dyDescent="0.3">
      <c r="B4" s="15" t="s">
        <v>391</v>
      </c>
      <c r="C4" s="16">
        <v>2014</v>
      </c>
      <c r="D4" s="16">
        <v>2015</v>
      </c>
      <c r="E4" s="16">
        <v>2016</v>
      </c>
      <c r="F4" s="16">
        <v>2017</v>
      </c>
      <c r="G4" s="16">
        <v>2018</v>
      </c>
      <c r="H4" s="16">
        <v>2019</v>
      </c>
      <c r="I4" s="16">
        <v>2020</v>
      </c>
      <c r="J4" s="16">
        <v>2021</v>
      </c>
      <c r="K4" s="16">
        <v>2022</v>
      </c>
      <c r="L4" s="16">
        <v>2023</v>
      </c>
      <c r="M4" s="16">
        <v>2024</v>
      </c>
    </row>
    <row r="5" spans="2:13" x14ac:dyDescent="0.25">
      <c r="B5" s="2" t="s">
        <v>232</v>
      </c>
      <c r="C5" s="20">
        <v>9885.2666666666682</v>
      </c>
      <c r="D5" s="20">
        <v>9669.4333333333343</v>
      </c>
      <c r="E5" s="20">
        <v>9052.9166666666661</v>
      </c>
      <c r="F5" s="20">
        <v>8447.8666666666668</v>
      </c>
      <c r="G5" s="20">
        <v>8049.7666666666673</v>
      </c>
      <c r="H5" s="20">
        <v>7820.0833333333339</v>
      </c>
      <c r="I5" s="20">
        <v>7718.4166666666661</v>
      </c>
      <c r="J5" s="20">
        <v>7958.7333333333327</v>
      </c>
      <c r="K5" s="110">
        <v>7281.5833333333339</v>
      </c>
      <c r="L5" s="20">
        <v>7115.95</v>
      </c>
      <c r="M5" s="20">
        <v>7101</v>
      </c>
    </row>
    <row r="6" spans="2:13" x14ac:dyDescent="0.25">
      <c r="B6" s="2" t="s">
        <v>392</v>
      </c>
      <c r="C6" s="66"/>
      <c r="D6" s="66"/>
      <c r="E6" s="66"/>
      <c r="F6" s="66"/>
      <c r="G6" s="66"/>
      <c r="H6" s="66"/>
      <c r="I6" s="66"/>
      <c r="J6" s="66"/>
      <c r="K6" s="115"/>
      <c r="L6" s="66"/>
      <c r="M6" s="66"/>
    </row>
    <row r="7" spans="2:13" x14ac:dyDescent="0.25">
      <c r="B7" s="11" t="s">
        <v>20</v>
      </c>
      <c r="C7" s="20">
        <v>2249.1666666666665</v>
      </c>
      <c r="D7" s="20">
        <v>2492.25</v>
      </c>
      <c r="E7" s="20">
        <v>2414</v>
      </c>
      <c r="F7" s="20">
        <v>2279.0000000000005</v>
      </c>
      <c r="G7" s="20">
        <v>2048.25</v>
      </c>
      <c r="H7" s="20">
        <v>1858.1666666666667</v>
      </c>
      <c r="I7" s="20">
        <v>1941.5833333333333</v>
      </c>
      <c r="J7" s="20">
        <v>2172.25</v>
      </c>
      <c r="K7" s="110">
        <v>1671.3333333333335</v>
      </c>
      <c r="L7" s="20">
        <v>1710.6666666666667</v>
      </c>
      <c r="M7" s="20">
        <v>1769.5000000000002</v>
      </c>
    </row>
    <row r="8" spans="2:13" x14ac:dyDescent="0.25">
      <c r="B8" s="11" t="s">
        <v>21</v>
      </c>
      <c r="C8" s="20"/>
      <c r="D8" s="20"/>
      <c r="E8" s="20"/>
      <c r="F8" s="20"/>
      <c r="G8" s="20"/>
      <c r="H8" s="20"/>
      <c r="I8" s="20"/>
      <c r="J8" s="20"/>
      <c r="K8" s="110"/>
      <c r="L8" s="20"/>
      <c r="M8" s="20"/>
    </row>
    <row r="9" spans="2:13" x14ac:dyDescent="0.25">
      <c r="B9" s="11" t="s">
        <v>22</v>
      </c>
      <c r="C9" s="20">
        <v>1787.25</v>
      </c>
      <c r="D9" s="20">
        <v>1669.1666666666667</v>
      </c>
      <c r="E9" s="20">
        <v>1456.25</v>
      </c>
      <c r="F9" s="20">
        <v>1406.8333333333333</v>
      </c>
      <c r="G9" s="20">
        <v>1325.9166666666667</v>
      </c>
      <c r="H9" s="20">
        <v>1273.75</v>
      </c>
      <c r="I9" s="20">
        <v>1241.1666666666667</v>
      </c>
      <c r="J9" s="20">
        <v>1236</v>
      </c>
      <c r="K9" s="110">
        <v>1194.8333333333333</v>
      </c>
      <c r="L9" s="20">
        <v>1066.6666666666667</v>
      </c>
      <c r="M9" s="20">
        <v>980.66666666666674</v>
      </c>
    </row>
    <row r="10" spans="2:13" x14ac:dyDescent="0.25">
      <c r="B10" s="11" t="s">
        <v>23</v>
      </c>
      <c r="C10" s="20">
        <v>2221</v>
      </c>
      <c r="D10" s="20">
        <v>1959.1666666666667</v>
      </c>
      <c r="E10" s="20">
        <v>1751</v>
      </c>
      <c r="F10" s="20">
        <v>1481</v>
      </c>
      <c r="G10" s="20">
        <v>1435</v>
      </c>
      <c r="H10" s="20">
        <v>1447</v>
      </c>
      <c r="I10" s="20">
        <v>1356</v>
      </c>
      <c r="J10" s="20">
        <v>1367</v>
      </c>
      <c r="K10" s="20">
        <v>1248</v>
      </c>
      <c r="L10" s="20">
        <v>1246</v>
      </c>
      <c r="M10" s="20">
        <v>1354.5</v>
      </c>
    </row>
    <row r="11" spans="2:13" x14ac:dyDescent="0.25">
      <c r="B11" s="11" t="s">
        <v>24</v>
      </c>
      <c r="C11" s="20">
        <v>2884.5</v>
      </c>
      <c r="D11" s="20">
        <v>2862.5833333333335</v>
      </c>
      <c r="E11" s="20">
        <v>2792.4166666666665</v>
      </c>
      <c r="F11" s="20">
        <v>2732.9166666666665</v>
      </c>
      <c r="G11" s="20">
        <v>2735.0833333333335</v>
      </c>
      <c r="H11" s="20">
        <v>2710.8333333333335</v>
      </c>
      <c r="I11" s="20">
        <v>2677.75</v>
      </c>
      <c r="J11" s="20">
        <v>2627</v>
      </c>
      <c r="K11" s="20">
        <v>2525.6666666666665</v>
      </c>
      <c r="L11" s="20">
        <v>2435.5</v>
      </c>
      <c r="M11" s="20">
        <v>2349.4166666666665</v>
      </c>
    </row>
    <row r="12" spans="2:13" x14ac:dyDescent="0.25">
      <c r="B12" s="159" t="s">
        <v>382</v>
      </c>
      <c r="C12" s="20">
        <v>426.91666666666669</v>
      </c>
      <c r="D12" s="20">
        <v>336</v>
      </c>
      <c r="E12" s="20">
        <v>363</v>
      </c>
      <c r="F12" s="20">
        <v>294</v>
      </c>
      <c r="G12" s="20">
        <v>212</v>
      </c>
      <c r="H12" s="20">
        <v>232</v>
      </c>
      <c r="I12" s="20">
        <v>248</v>
      </c>
      <c r="J12" s="20">
        <v>265</v>
      </c>
      <c r="K12" s="20">
        <v>256</v>
      </c>
      <c r="L12" s="20">
        <v>262</v>
      </c>
      <c r="M12" s="20">
        <v>259.16666666666669</v>
      </c>
    </row>
    <row r="13" spans="2:13" x14ac:dyDescent="0.25">
      <c r="B13" s="11" t="s">
        <v>25</v>
      </c>
      <c r="C13" s="66"/>
      <c r="D13" s="71"/>
      <c r="E13" s="66"/>
      <c r="F13" s="20"/>
      <c r="G13" s="20"/>
      <c r="H13" s="20"/>
      <c r="I13" s="20"/>
      <c r="J13" s="20"/>
      <c r="K13" s="110"/>
      <c r="L13" s="20"/>
      <c r="M13" s="20"/>
    </row>
    <row r="14" spans="2:13" x14ac:dyDescent="0.25">
      <c r="B14" s="11" t="s">
        <v>26</v>
      </c>
      <c r="C14" s="66"/>
      <c r="D14" s="66"/>
      <c r="E14" s="66"/>
      <c r="F14" s="23"/>
      <c r="G14" s="20"/>
      <c r="H14" s="20"/>
      <c r="I14" s="20"/>
      <c r="J14" s="20"/>
      <c r="K14" s="110"/>
      <c r="L14" s="20"/>
      <c r="M14" s="20"/>
    </row>
    <row r="15" spans="2:13" x14ac:dyDescent="0.25">
      <c r="B15" s="11" t="s">
        <v>53</v>
      </c>
      <c r="C15" s="20">
        <v>351.6</v>
      </c>
      <c r="D15" s="72">
        <v>388.6</v>
      </c>
      <c r="E15" s="72">
        <v>298.2</v>
      </c>
      <c r="F15" s="70">
        <v>266.3</v>
      </c>
      <c r="G15" s="20">
        <v>284.2</v>
      </c>
      <c r="H15" s="20">
        <v>288</v>
      </c>
      <c r="I15" s="20">
        <v>230</v>
      </c>
      <c r="J15" s="20">
        <v>255</v>
      </c>
      <c r="K15" s="110">
        <v>315</v>
      </c>
      <c r="L15" s="20">
        <v>280</v>
      </c>
      <c r="M15" s="20">
        <v>303.7</v>
      </c>
    </row>
    <row r="16" spans="2:13" x14ac:dyDescent="0.25">
      <c r="B16" s="11" t="s">
        <v>28</v>
      </c>
      <c r="C16" s="20">
        <v>14</v>
      </c>
      <c r="D16" s="23">
        <v>16</v>
      </c>
      <c r="E16" s="72">
        <v>20.8</v>
      </c>
      <c r="F16" s="70">
        <v>21.4</v>
      </c>
      <c r="G16" s="20">
        <v>23.4</v>
      </c>
      <c r="H16" s="20">
        <v>21</v>
      </c>
      <c r="I16" s="20">
        <v>16</v>
      </c>
      <c r="J16" s="20">
        <v>18.7</v>
      </c>
      <c r="K16" s="110">
        <v>54</v>
      </c>
      <c r="L16" s="20">
        <v>106.7</v>
      </c>
      <c r="M16" s="20">
        <v>80.3</v>
      </c>
    </row>
    <row r="17" spans="2:13" x14ac:dyDescent="0.25">
      <c r="B17" s="11" t="s">
        <v>258</v>
      </c>
      <c r="C17" s="20">
        <v>64.416666666666671</v>
      </c>
      <c r="D17" s="20">
        <v>63.25</v>
      </c>
      <c r="E17" s="20">
        <v>58.166666666666671</v>
      </c>
      <c r="F17" s="20">
        <v>38.416666666666664</v>
      </c>
      <c r="G17" s="20">
        <v>41.833333333333329</v>
      </c>
      <c r="H17" s="20">
        <v>37.25</v>
      </c>
      <c r="I17" s="20">
        <v>47.5</v>
      </c>
      <c r="J17" s="20">
        <v>59.416666666666671</v>
      </c>
      <c r="K17" s="110">
        <v>52.833333333333329</v>
      </c>
      <c r="L17" s="20">
        <v>53.25</v>
      </c>
      <c r="M17" s="20">
        <v>47.833333333333329</v>
      </c>
    </row>
    <row r="18" spans="2:13" x14ac:dyDescent="0.25">
      <c r="B18" s="2"/>
      <c r="C18" s="20"/>
      <c r="D18" s="20"/>
      <c r="E18" s="20"/>
      <c r="F18" s="20"/>
      <c r="G18" s="20"/>
      <c r="H18" s="20"/>
      <c r="I18" s="20"/>
      <c r="J18" s="20"/>
      <c r="K18" s="110"/>
      <c r="L18" s="20"/>
      <c r="M18" s="20"/>
    </row>
    <row r="19" spans="2:13" x14ac:dyDescent="0.25">
      <c r="B19" s="14" t="s">
        <v>52</v>
      </c>
      <c r="C19" s="20"/>
      <c r="D19" s="20"/>
      <c r="E19" s="20"/>
      <c r="F19" s="20"/>
      <c r="G19" s="20"/>
      <c r="H19" s="20"/>
      <c r="I19" s="20"/>
      <c r="J19" s="20"/>
      <c r="K19" s="110"/>
      <c r="L19" s="20"/>
      <c r="M19" s="20"/>
    </row>
    <row r="20" spans="2:13" x14ac:dyDescent="0.25">
      <c r="B20" s="12" t="s">
        <v>54</v>
      </c>
      <c r="C20" s="67">
        <f>(C5/Folkmängd!C5)*100000</f>
        <v>212.19552945309698</v>
      </c>
      <c r="D20" s="67">
        <f>(D5/Folkmängd!D5)*100000</f>
        <v>205.86104636622963</v>
      </c>
      <c r="E20" s="67">
        <f>(E5/Folkmängd!E5)*100000</f>
        <v>190.70909057841794</v>
      </c>
      <c r="F20" s="67">
        <f>(F5/Folkmängd!F5)*100000</f>
        <v>176.46776616788532</v>
      </c>
      <c r="G20" s="67">
        <f>(G5/Folkmängd!G5)*100000</f>
        <v>166.98612764886397</v>
      </c>
      <c r="H20" s="67">
        <f>(H5/Folkmängd!H5)*100000</f>
        <v>161.28502231532565</v>
      </c>
      <c r="I20" s="67">
        <f>(I5/Folkmängd!I5)*100000</f>
        <v>158.50060254221131</v>
      </c>
      <c r="J20" s="67">
        <f>(J5/Folkmängd!J5)*100000</f>
        <v>162.7133234831127</v>
      </c>
      <c r="K20" s="67">
        <f>(K5/Folkmängd!K5)*100000</f>
        <v>147.77172636218918</v>
      </c>
      <c r="L20" s="67">
        <f>(L5/Folkmängd!L5)*100000</f>
        <v>142.74162941637601</v>
      </c>
      <c r="M20" s="67">
        <f>(M5/Folkmängd!M5)*100000</f>
        <v>141.37023412989217</v>
      </c>
    </row>
    <row r="21" spans="2:13" x14ac:dyDescent="0.25">
      <c r="B21" s="12" t="s">
        <v>30</v>
      </c>
      <c r="C21" s="67">
        <f>(C5/Folkmängd!C6)*100000</f>
        <v>175.6682752127229</v>
      </c>
      <c r="D21" s="67">
        <f>(D5/Folkmängd!D6)*100000</f>
        <v>170.84664746075262</v>
      </c>
      <c r="E21" s="67">
        <f>(E5/Folkmängd!E6)*100000</f>
        <v>158.62131640375841</v>
      </c>
      <c r="F21" s="67">
        <f>(F5/Folkmängd!F6)*100000</f>
        <v>146.95088055663163</v>
      </c>
      <c r="G21" s="67">
        <f>(G5/Folkmängd!G6)*100000</f>
        <v>139.24065229938245</v>
      </c>
      <c r="H21" s="67">
        <f>(H5/Folkmängd!H6)*100000</f>
        <v>134.68780978655542</v>
      </c>
      <c r="I21" s="67">
        <f>(I5/Folkmängd!I6)*100000</f>
        <v>132.555913175011</v>
      </c>
      <c r="J21" s="67">
        <f>(J5/Folkmängd!J6)*100000</f>
        <v>136.27863027311147</v>
      </c>
      <c r="K21" s="67">
        <f>(K5/Folkmängd!K6)*100000</f>
        <v>123.9751853831896</v>
      </c>
      <c r="L21" s="67">
        <f>(L5/Folkmängd!L6)*100000</f>
        <v>119.94547465603084</v>
      </c>
      <c r="M21" s="67">
        <f>(M5/Folkmängd!M6)*100000</f>
        <v>119.1193322070593</v>
      </c>
    </row>
    <row r="22" spans="2:13" x14ac:dyDescent="0.25">
      <c r="B22" s="7"/>
      <c r="I22" s="1"/>
    </row>
    <row r="23" spans="2:13" x14ac:dyDescent="0.25">
      <c r="B23" s="63" t="s">
        <v>388</v>
      </c>
      <c r="I23" s="1"/>
    </row>
    <row r="24" spans="2:13" x14ac:dyDescent="0.25">
      <c r="B24" s="63" t="s">
        <v>389</v>
      </c>
      <c r="I24" s="1"/>
    </row>
    <row r="25" spans="2:13" x14ac:dyDescent="0.25">
      <c r="B25" s="104" t="s">
        <v>325</v>
      </c>
      <c r="I25" s="1"/>
    </row>
    <row r="26" spans="2:13" x14ac:dyDescent="0.25">
      <c r="B26" s="63" t="s">
        <v>390</v>
      </c>
      <c r="I26" s="1"/>
    </row>
    <row r="27" spans="2:13" x14ac:dyDescent="0.25">
      <c r="I27" s="1"/>
    </row>
    <row r="28" spans="2:13" x14ac:dyDescent="0.25">
      <c r="B28" s="105"/>
      <c r="I28" s="1"/>
    </row>
    <row r="29" spans="2:13" x14ac:dyDescent="0.25">
      <c r="B29" s="104"/>
      <c r="I29" s="1"/>
    </row>
    <row r="30" spans="2:13" x14ac:dyDescent="0.25">
      <c r="I30" s="1"/>
    </row>
    <row r="31" spans="2:13" ht="18.75" x14ac:dyDescent="0.3">
      <c r="B31" s="15" t="s">
        <v>47</v>
      </c>
      <c r="C31" s="16">
        <v>2014</v>
      </c>
      <c r="D31" s="16">
        <v>2015</v>
      </c>
      <c r="E31" s="16">
        <v>2016</v>
      </c>
      <c r="F31" s="16">
        <v>2017</v>
      </c>
      <c r="G31" s="16">
        <v>2018</v>
      </c>
      <c r="H31" s="16">
        <v>2019</v>
      </c>
      <c r="I31" s="16">
        <v>2020</v>
      </c>
      <c r="J31" s="16">
        <v>2021</v>
      </c>
      <c r="K31" s="16">
        <v>2022</v>
      </c>
      <c r="L31" s="16">
        <v>2023</v>
      </c>
      <c r="M31" s="16">
        <v>2024</v>
      </c>
    </row>
    <row r="32" spans="2:13" x14ac:dyDescent="0.25">
      <c r="B32" s="2" t="s">
        <v>232</v>
      </c>
      <c r="C32" s="18">
        <f t="shared" ref="C32:I32" si="0">SUM(C34:C44)</f>
        <v>3305</v>
      </c>
      <c r="D32" s="18">
        <f t="shared" si="0"/>
        <v>3302</v>
      </c>
      <c r="E32" s="18">
        <f t="shared" si="0"/>
        <v>3265</v>
      </c>
      <c r="F32" s="10">
        <f t="shared" si="0"/>
        <v>3182</v>
      </c>
      <c r="G32" s="10">
        <f t="shared" si="0"/>
        <v>3165</v>
      </c>
      <c r="H32" s="10">
        <f t="shared" si="0"/>
        <v>3247</v>
      </c>
      <c r="I32" s="10">
        <f t="shared" si="0"/>
        <v>3310</v>
      </c>
      <c r="J32" s="10">
        <f>SUM(J34:J44)</f>
        <v>3388</v>
      </c>
      <c r="K32" s="10">
        <f t="shared" ref="K32" si="1">SUM(K34:K44)</f>
        <v>3806</v>
      </c>
      <c r="L32" s="10">
        <f>SUM(L34:L44)</f>
        <v>4084</v>
      </c>
      <c r="M32" s="10">
        <f>SUM(M34:M44)</f>
        <v>4283</v>
      </c>
    </row>
    <row r="33" spans="2:13" x14ac:dyDescent="0.25">
      <c r="B33" s="2" t="s">
        <v>51</v>
      </c>
      <c r="C33" s="18"/>
      <c r="D33" s="2"/>
      <c r="E33" s="2"/>
      <c r="F33" s="2"/>
      <c r="G33" s="2"/>
      <c r="H33" s="2"/>
      <c r="I33" s="2"/>
      <c r="J33" s="2"/>
      <c r="K33" s="2"/>
      <c r="L33" s="2"/>
      <c r="M33" s="2"/>
    </row>
    <row r="34" spans="2:13" x14ac:dyDescent="0.25">
      <c r="B34" s="11" t="s">
        <v>20</v>
      </c>
      <c r="C34" s="18">
        <v>1247</v>
      </c>
      <c r="D34" s="18">
        <v>1217</v>
      </c>
      <c r="E34" s="18">
        <v>1120</v>
      </c>
      <c r="F34" s="18">
        <v>1096</v>
      </c>
      <c r="G34" s="10">
        <v>1072</v>
      </c>
      <c r="H34" s="10">
        <v>1154</v>
      </c>
      <c r="I34" s="10">
        <v>1220</v>
      </c>
      <c r="J34" s="10">
        <v>1249</v>
      </c>
      <c r="K34" s="20">
        <v>1534</v>
      </c>
      <c r="L34" s="10">
        <v>1682</v>
      </c>
      <c r="M34" s="10">
        <v>1721</v>
      </c>
    </row>
    <row r="35" spans="2:13" x14ac:dyDescent="0.25">
      <c r="B35" s="11" t="s">
        <v>21</v>
      </c>
      <c r="C35" s="2"/>
      <c r="D35" s="2"/>
      <c r="E35" s="2"/>
      <c r="F35" s="2"/>
      <c r="G35" s="2"/>
      <c r="H35" s="2"/>
      <c r="I35" s="2"/>
      <c r="J35" s="2"/>
      <c r="K35" s="23"/>
      <c r="L35" s="2"/>
      <c r="M35" s="2"/>
    </row>
    <row r="36" spans="2:13" x14ac:dyDescent="0.25">
      <c r="B36" s="11" t="s">
        <v>22</v>
      </c>
      <c r="C36" s="18">
        <v>1054</v>
      </c>
      <c r="D36" s="18">
        <v>1033</v>
      </c>
      <c r="E36" s="18">
        <v>1067</v>
      </c>
      <c r="F36" s="18">
        <v>1093</v>
      </c>
      <c r="G36" s="18">
        <v>1116</v>
      </c>
      <c r="H36" s="18">
        <v>1116</v>
      </c>
      <c r="I36" s="18">
        <v>1144</v>
      </c>
      <c r="J36" s="18">
        <v>1116</v>
      </c>
      <c r="K36" s="34">
        <v>1271</v>
      </c>
      <c r="L36" s="18">
        <v>1346</v>
      </c>
      <c r="M36" s="18">
        <v>1404</v>
      </c>
    </row>
    <row r="37" spans="2:13" x14ac:dyDescent="0.25">
      <c r="B37" s="100" t="s">
        <v>23</v>
      </c>
      <c r="C37" s="18">
        <v>781</v>
      </c>
      <c r="D37" s="18">
        <v>786</v>
      </c>
      <c r="E37" s="18">
        <v>819</v>
      </c>
      <c r="F37" s="18">
        <v>727</v>
      </c>
      <c r="G37" s="18">
        <v>729</v>
      </c>
      <c r="H37" s="18">
        <v>726</v>
      </c>
      <c r="I37" s="18">
        <v>674</v>
      </c>
      <c r="J37" s="18">
        <v>772</v>
      </c>
      <c r="K37" s="34">
        <v>649</v>
      </c>
      <c r="L37" s="18">
        <v>698</v>
      </c>
      <c r="M37" s="18">
        <v>803</v>
      </c>
    </row>
    <row r="38" spans="2:13" x14ac:dyDescent="0.25">
      <c r="B38" s="11" t="s">
        <v>24</v>
      </c>
      <c r="C38" s="2"/>
      <c r="D38" s="2"/>
      <c r="E38" s="2"/>
      <c r="F38" s="2"/>
      <c r="G38" s="2"/>
      <c r="H38" s="2"/>
      <c r="I38" s="2"/>
      <c r="J38" s="2"/>
      <c r="K38" s="23"/>
      <c r="L38" s="2"/>
      <c r="M38" s="2"/>
    </row>
    <row r="39" spans="2:13" x14ac:dyDescent="0.25">
      <c r="B39" s="5" t="s">
        <v>382</v>
      </c>
      <c r="C39" s="2"/>
      <c r="D39" s="2"/>
      <c r="E39" s="2"/>
      <c r="F39" s="2"/>
      <c r="G39" s="2"/>
      <c r="H39" s="2"/>
      <c r="I39" s="2"/>
      <c r="J39" s="2"/>
      <c r="K39" s="2"/>
      <c r="L39" s="2"/>
      <c r="M39" s="2"/>
    </row>
    <row r="40" spans="2:13" x14ac:dyDescent="0.25">
      <c r="B40" s="11" t="s">
        <v>25</v>
      </c>
      <c r="C40" s="2"/>
      <c r="D40" s="2"/>
      <c r="E40" s="2"/>
      <c r="F40" s="2"/>
      <c r="G40" s="2"/>
      <c r="H40" s="2"/>
      <c r="I40" s="2"/>
      <c r="J40" s="2"/>
      <c r="K40" s="2"/>
      <c r="L40" s="2"/>
      <c r="M40" s="2"/>
    </row>
    <row r="41" spans="2:13" x14ac:dyDescent="0.25">
      <c r="B41" s="11" t="s">
        <v>26</v>
      </c>
      <c r="C41" s="2"/>
      <c r="D41" s="2"/>
      <c r="E41" s="2"/>
      <c r="F41" s="2"/>
      <c r="G41" s="2"/>
      <c r="H41" s="2"/>
      <c r="I41" s="2"/>
      <c r="J41" s="2"/>
      <c r="K41" s="2"/>
      <c r="L41" s="2"/>
      <c r="M41" s="2"/>
    </row>
    <row r="42" spans="2:13" x14ac:dyDescent="0.25">
      <c r="B42" s="11" t="s">
        <v>346</v>
      </c>
      <c r="C42" s="2">
        <v>45</v>
      </c>
      <c r="D42" s="2">
        <v>48</v>
      </c>
      <c r="E42" s="2">
        <v>47</v>
      </c>
      <c r="F42" s="2">
        <v>45</v>
      </c>
      <c r="G42" s="2">
        <v>33</v>
      </c>
      <c r="H42" s="2">
        <v>26</v>
      </c>
      <c r="I42" s="2">
        <v>39</v>
      </c>
      <c r="J42" s="2">
        <v>30</v>
      </c>
      <c r="K42" s="2">
        <v>136</v>
      </c>
      <c r="L42" s="2">
        <v>142</v>
      </c>
      <c r="M42" s="2">
        <v>115</v>
      </c>
    </row>
    <row r="43" spans="2:13" x14ac:dyDescent="0.25">
      <c r="B43" s="11" t="s">
        <v>343</v>
      </c>
      <c r="C43" s="23">
        <v>168</v>
      </c>
      <c r="D43" s="23">
        <v>209</v>
      </c>
      <c r="E43" s="23">
        <v>203</v>
      </c>
      <c r="F43" s="23">
        <v>214</v>
      </c>
      <c r="G43" s="2">
        <v>207</v>
      </c>
      <c r="H43" s="2">
        <v>216</v>
      </c>
      <c r="I43" s="2">
        <v>227</v>
      </c>
      <c r="J43" s="2">
        <v>213</v>
      </c>
      <c r="K43" s="2">
        <v>208</v>
      </c>
      <c r="L43" s="2">
        <v>206</v>
      </c>
      <c r="M43" s="2">
        <v>224</v>
      </c>
    </row>
    <row r="44" spans="2:13" x14ac:dyDescent="0.25">
      <c r="B44" s="11" t="s">
        <v>342</v>
      </c>
      <c r="C44" s="2">
        <v>10</v>
      </c>
      <c r="D44" s="2">
        <v>9</v>
      </c>
      <c r="E44" s="2">
        <v>9</v>
      </c>
      <c r="F44" s="2">
        <v>7</v>
      </c>
      <c r="G44" s="2">
        <v>8</v>
      </c>
      <c r="H44" s="2">
        <v>9</v>
      </c>
      <c r="I44" s="2">
        <v>6</v>
      </c>
      <c r="J44" s="2">
        <v>8</v>
      </c>
      <c r="K44" s="2">
        <v>8</v>
      </c>
      <c r="L44" s="2">
        <v>10</v>
      </c>
      <c r="M44" s="2">
        <v>16</v>
      </c>
    </row>
    <row r="45" spans="2:13" x14ac:dyDescent="0.25">
      <c r="B45" s="2"/>
      <c r="C45" s="2"/>
      <c r="D45" s="2"/>
      <c r="E45" s="2"/>
      <c r="F45" s="2"/>
      <c r="G45" s="2"/>
      <c r="H45" s="2"/>
      <c r="I45" s="2"/>
      <c r="J45" s="2"/>
      <c r="K45" s="2"/>
      <c r="L45" s="2"/>
      <c r="M45" s="2"/>
    </row>
    <row r="46" spans="2:13" x14ac:dyDescent="0.25">
      <c r="B46" s="14" t="s">
        <v>52</v>
      </c>
      <c r="C46" s="2"/>
      <c r="D46" s="2"/>
      <c r="E46" s="2"/>
      <c r="F46" s="2"/>
      <c r="G46" s="2"/>
      <c r="H46" s="2"/>
      <c r="I46" s="2"/>
      <c r="J46" s="2"/>
      <c r="K46" s="2"/>
      <c r="L46" s="2"/>
      <c r="M46" s="2"/>
    </row>
    <row r="47" spans="2:13" x14ac:dyDescent="0.25">
      <c r="B47" s="12" t="s">
        <v>54</v>
      </c>
      <c r="C47" s="75">
        <f>C32/Folkmängd!C11*100000</f>
        <v>72.537738828584651</v>
      </c>
      <c r="D47" s="75">
        <f>D32/Folkmängd!D11*100000</f>
        <v>72.172575951144722</v>
      </c>
      <c r="E47" s="75">
        <f>E32/Folkmängd!E11*100000</f>
        <v>71.112989065152775</v>
      </c>
      <c r="F47" s="75">
        <f>F32/Folkmängd!F11*100000</f>
        <v>69.037054586787619</v>
      </c>
      <c r="G47" s="75">
        <f>G32/Folkmängd!G11*100000</f>
        <v>68.466391762746753</v>
      </c>
      <c r="H47" s="75">
        <f>H32/Folkmängd!H11*100000</f>
        <v>70.043585791528116</v>
      </c>
      <c r="I47" s="75">
        <f>I32/Folkmängd!I11*100000</f>
        <v>71.117703882210179</v>
      </c>
      <c r="J47" s="75">
        <f>J32/Folkmängd!J11*100000</f>
        <v>72.502660000188314</v>
      </c>
      <c r="K47" s="75">
        <f>K32/Folkmängd!K11*100000</f>
        <v>81.039986185301359</v>
      </c>
      <c r="L47" s="75">
        <f>L32/Folkmängd!L11*100000</f>
        <v>86.458711307927231</v>
      </c>
      <c r="M47" s="75">
        <f>M32/Folkmängd!M11*100000</f>
        <v>89.759890720529029</v>
      </c>
    </row>
    <row r="48" spans="2:13" x14ac:dyDescent="0.25">
      <c r="B48" s="12" t="s">
        <v>30</v>
      </c>
      <c r="C48" s="75">
        <f>C32/Folkmängd!C12*100000</f>
        <v>60.62807382499858</v>
      </c>
      <c r="D48" s="75">
        <f>D32/Folkmängd!D12*100000</f>
        <v>60.346291215996047</v>
      </c>
      <c r="E48" s="75">
        <f>E32/Folkmängd!E12*100000</f>
        <v>59.500942903150325</v>
      </c>
      <c r="F48" s="75">
        <f>F32/Folkmängd!F12*100000</f>
        <v>57.819885061627602</v>
      </c>
      <c r="G48" s="75">
        <f>G32/Folkmängd!G12*100000</f>
        <v>57.40840502582018</v>
      </c>
      <c r="H48" s="75">
        <f>H32/Folkmängd!H12*100000</f>
        <v>58.844647773916222</v>
      </c>
      <c r="I48" s="75">
        <f>I32/Folkmängd!I12*100000</f>
        <v>59.906336171916344</v>
      </c>
      <c r="J48" s="75">
        <f>J32/Folkmängd!J12*100000</f>
        <v>61.223829658969898</v>
      </c>
      <c r="K48" s="75">
        <f>K32/Folkmängd!K12*100000</f>
        <v>68.598317917336331</v>
      </c>
      <c r="L48" s="75">
        <f>L32/Folkmängd!L12*100000</f>
        <v>73.400827107263339</v>
      </c>
      <c r="M48" s="75">
        <f>M32/Folkmängd!M12*100000</f>
        <v>76.429583870092188</v>
      </c>
    </row>
    <row r="49" spans="2:13" x14ac:dyDescent="0.25">
      <c r="B49" s="7"/>
      <c r="I49" s="1"/>
    </row>
    <row r="50" spans="2:13" x14ac:dyDescent="0.25">
      <c r="B50" s="63" t="s">
        <v>340</v>
      </c>
      <c r="I50" s="1"/>
    </row>
    <row r="51" spans="2:13" x14ac:dyDescent="0.25">
      <c r="B51" s="97" t="s">
        <v>354</v>
      </c>
      <c r="I51" s="1"/>
    </row>
    <row r="52" spans="2:13" x14ac:dyDescent="0.25">
      <c r="B52" s="97" t="s">
        <v>341</v>
      </c>
      <c r="I52" s="1"/>
    </row>
    <row r="53" spans="2:13" x14ac:dyDescent="0.25">
      <c r="B53" s="63" t="s">
        <v>345</v>
      </c>
      <c r="I53" s="1"/>
    </row>
    <row r="54" spans="2:13" x14ac:dyDescent="0.25">
      <c r="B54" s="63" t="s">
        <v>344</v>
      </c>
      <c r="I54" s="1"/>
    </row>
    <row r="55" spans="2:13" x14ac:dyDescent="0.25">
      <c r="B55" s="63" t="s">
        <v>395</v>
      </c>
      <c r="I55" s="1"/>
    </row>
    <row r="56" spans="2:13" x14ac:dyDescent="0.25">
      <c r="B56" s="63"/>
      <c r="I56" s="1"/>
    </row>
    <row r="57" spans="2:13" x14ac:dyDescent="0.25">
      <c r="I57" s="1"/>
    </row>
    <row r="58" spans="2:13" ht="18.75" x14ac:dyDescent="0.3">
      <c r="B58" s="15" t="s">
        <v>48</v>
      </c>
      <c r="C58" s="16">
        <v>2014</v>
      </c>
      <c r="D58" s="16">
        <v>2015</v>
      </c>
      <c r="E58" s="16">
        <v>2016</v>
      </c>
      <c r="F58" s="16">
        <v>2017</v>
      </c>
      <c r="G58" s="16">
        <v>2018</v>
      </c>
      <c r="H58" s="16">
        <v>2019</v>
      </c>
      <c r="I58" s="16">
        <v>2020</v>
      </c>
      <c r="J58" s="16">
        <v>2021</v>
      </c>
      <c r="K58" s="16">
        <v>2022</v>
      </c>
      <c r="L58" s="16">
        <v>2023</v>
      </c>
      <c r="M58" s="16">
        <v>2024</v>
      </c>
    </row>
    <row r="59" spans="2:13" x14ac:dyDescent="0.25">
      <c r="B59" s="2" t="s">
        <v>232</v>
      </c>
      <c r="C59" s="69">
        <v>216</v>
      </c>
      <c r="D59" s="69">
        <v>240</v>
      </c>
      <c r="E59" s="69">
        <v>250</v>
      </c>
      <c r="F59" s="69">
        <v>238.5</v>
      </c>
      <c r="G59" s="69">
        <v>258.2</v>
      </c>
      <c r="H59" s="69">
        <v>250.47</v>
      </c>
      <c r="I59" s="69">
        <v>259.10000000000002</v>
      </c>
      <c r="J59" s="69">
        <v>262.3</v>
      </c>
      <c r="K59" s="69">
        <v>306.60000000000002</v>
      </c>
      <c r="L59" s="69">
        <v>277.7</v>
      </c>
      <c r="M59" s="69">
        <v>298.95</v>
      </c>
    </row>
    <row r="60" spans="2:13" x14ac:dyDescent="0.25">
      <c r="B60" s="2" t="s">
        <v>51</v>
      </c>
      <c r="C60" s="69"/>
      <c r="D60" s="69"/>
      <c r="E60" s="69"/>
      <c r="F60" s="69"/>
      <c r="G60" s="69"/>
      <c r="H60" s="69"/>
      <c r="I60" s="69"/>
      <c r="J60" s="69"/>
      <c r="K60" s="69"/>
      <c r="L60" s="69"/>
      <c r="M60" s="69"/>
    </row>
    <row r="61" spans="2:13" x14ac:dyDescent="0.25">
      <c r="B61" s="11" t="s">
        <v>20</v>
      </c>
      <c r="C61" s="69">
        <v>115</v>
      </c>
      <c r="D61" s="69">
        <v>144.4</v>
      </c>
      <c r="E61" s="69">
        <v>154.5</v>
      </c>
      <c r="F61" s="69">
        <v>147.1</v>
      </c>
      <c r="G61" s="69">
        <v>185.7</v>
      </c>
      <c r="H61" s="69">
        <v>185.1</v>
      </c>
      <c r="I61" s="69">
        <v>194.3</v>
      </c>
      <c r="J61" s="69">
        <v>207.1</v>
      </c>
      <c r="K61" s="69">
        <v>245.8</v>
      </c>
      <c r="L61" s="69">
        <v>214.7</v>
      </c>
      <c r="M61" s="69">
        <v>226</v>
      </c>
    </row>
    <row r="62" spans="2:13" x14ac:dyDescent="0.25">
      <c r="B62" s="11" t="s">
        <v>21</v>
      </c>
      <c r="C62" s="69"/>
      <c r="D62" s="69"/>
      <c r="E62" s="69"/>
      <c r="F62" s="69"/>
      <c r="G62" s="69"/>
      <c r="H62" s="69"/>
      <c r="I62" s="69"/>
      <c r="J62" s="69"/>
      <c r="K62" s="69"/>
      <c r="L62" s="69"/>
      <c r="M62" s="69"/>
    </row>
    <row r="63" spans="2:13" x14ac:dyDescent="0.25">
      <c r="B63" s="11" t="s">
        <v>22</v>
      </c>
      <c r="C63" s="69">
        <v>74</v>
      </c>
      <c r="D63" s="69">
        <v>62.83</v>
      </c>
      <c r="E63" s="69">
        <v>61</v>
      </c>
      <c r="F63" s="69">
        <v>51.9</v>
      </c>
      <c r="G63" s="69">
        <v>49.8</v>
      </c>
      <c r="H63" s="69">
        <v>48.8</v>
      </c>
      <c r="I63" s="69">
        <v>41.2</v>
      </c>
      <c r="J63" s="69">
        <v>38.799999999999997</v>
      </c>
      <c r="K63" s="69">
        <v>35.299999999999997</v>
      </c>
      <c r="L63" s="69">
        <v>31.17</v>
      </c>
      <c r="M63" s="69">
        <v>38.25</v>
      </c>
    </row>
    <row r="64" spans="2:13" x14ac:dyDescent="0.25">
      <c r="B64" s="11" t="s">
        <v>23</v>
      </c>
      <c r="C64" s="69">
        <v>9</v>
      </c>
      <c r="D64" s="69">
        <v>11.5</v>
      </c>
      <c r="E64" s="69">
        <v>13.8</v>
      </c>
      <c r="F64" s="69">
        <v>13.1</v>
      </c>
      <c r="G64" s="69">
        <v>7.2</v>
      </c>
      <c r="H64" s="69">
        <v>3.75</v>
      </c>
      <c r="I64" s="69">
        <v>4.9000000000000004</v>
      </c>
      <c r="J64" s="69">
        <v>4.3</v>
      </c>
      <c r="K64" s="69">
        <v>8.3000000000000007</v>
      </c>
      <c r="L64" s="69">
        <v>12.9</v>
      </c>
      <c r="M64" s="69">
        <v>19.2</v>
      </c>
    </row>
    <row r="65" spans="2:13" x14ac:dyDescent="0.25">
      <c r="B65" s="11" t="s">
        <v>24</v>
      </c>
      <c r="C65" s="2"/>
      <c r="D65" s="2"/>
      <c r="E65" s="2"/>
      <c r="F65" s="2"/>
      <c r="G65" s="2"/>
      <c r="H65" s="2"/>
      <c r="I65" s="2"/>
      <c r="J65" s="2"/>
      <c r="K65" s="2"/>
      <c r="L65" s="2"/>
      <c r="M65" s="2"/>
    </row>
    <row r="66" spans="2:13" x14ac:dyDescent="0.25">
      <c r="B66" s="5" t="s">
        <v>382</v>
      </c>
      <c r="C66" s="2"/>
      <c r="D66" s="2"/>
      <c r="E66" s="2"/>
      <c r="F66" s="2"/>
      <c r="G66" s="2"/>
      <c r="H66" s="2"/>
      <c r="I66" s="2"/>
      <c r="J66" s="2"/>
      <c r="K66" s="2"/>
      <c r="L66" s="2"/>
      <c r="M66" s="2"/>
    </row>
    <row r="67" spans="2:13" x14ac:dyDescent="0.25">
      <c r="B67" s="11" t="s">
        <v>25</v>
      </c>
      <c r="C67" s="2"/>
      <c r="D67" s="2"/>
      <c r="E67" s="2"/>
      <c r="F67" s="2"/>
      <c r="G67" s="2"/>
      <c r="H67" s="2"/>
      <c r="I67" s="2"/>
      <c r="J67" s="2"/>
      <c r="K67" s="2"/>
      <c r="L67" s="2"/>
      <c r="M67" s="2"/>
    </row>
    <row r="68" spans="2:13" x14ac:dyDescent="0.25">
      <c r="B68" s="11" t="s">
        <v>26</v>
      </c>
      <c r="C68" s="2"/>
      <c r="D68" s="2"/>
      <c r="E68" s="2"/>
      <c r="F68" s="2"/>
      <c r="G68" s="2"/>
      <c r="H68" s="2"/>
      <c r="I68" s="2"/>
      <c r="J68" s="2"/>
      <c r="K68" s="2"/>
      <c r="L68" s="2"/>
      <c r="M68" s="2"/>
    </row>
    <row r="69" spans="2:13" x14ac:dyDescent="0.25">
      <c r="B69" s="11" t="s">
        <v>53</v>
      </c>
      <c r="C69" s="2"/>
      <c r="D69" s="2"/>
      <c r="E69" s="2"/>
      <c r="F69" s="2"/>
      <c r="G69" s="2"/>
      <c r="H69" s="2"/>
      <c r="I69" s="2"/>
      <c r="J69" s="2"/>
      <c r="K69" s="2"/>
      <c r="L69" s="2"/>
      <c r="M69" s="2"/>
    </row>
    <row r="70" spans="2:13" x14ac:dyDescent="0.25">
      <c r="B70" s="11" t="s">
        <v>257</v>
      </c>
      <c r="C70" s="69">
        <v>8.1999999999999993</v>
      </c>
      <c r="D70" s="69">
        <v>7.7</v>
      </c>
      <c r="E70" s="69">
        <v>7.1</v>
      </c>
      <c r="F70" s="69">
        <v>17.8</v>
      </c>
      <c r="G70" s="69">
        <v>14.2</v>
      </c>
      <c r="H70" s="69">
        <v>11.4</v>
      </c>
      <c r="I70" s="69">
        <v>15.5</v>
      </c>
      <c r="J70" s="69">
        <v>8.5</v>
      </c>
      <c r="K70" s="69">
        <v>14.5</v>
      </c>
      <c r="L70" s="69">
        <v>16.899999999999999</v>
      </c>
      <c r="M70" s="69">
        <v>12.6</v>
      </c>
    </row>
    <row r="71" spans="2:13" x14ac:dyDescent="0.25">
      <c r="B71" s="11" t="s">
        <v>258</v>
      </c>
      <c r="C71" s="69">
        <v>10</v>
      </c>
      <c r="D71" s="69">
        <v>13.08</v>
      </c>
      <c r="E71" s="69">
        <v>13.3</v>
      </c>
      <c r="F71" s="69">
        <v>8.6</v>
      </c>
      <c r="G71" s="69">
        <v>1.33</v>
      </c>
      <c r="H71" s="69">
        <v>1.42</v>
      </c>
      <c r="I71" s="69">
        <v>3.2</v>
      </c>
      <c r="J71" s="69">
        <v>3.6</v>
      </c>
      <c r="K71" s="69">
        <v>2.7</v>
      </c>
      <c r="L71" s="69">
        <v>2.1</v>
      </c>
      <c r="M71" s="69">
        <v>2.9</v>
      </c>
    </row>
    <row r="72" spans="2:13" x14ac:dyDescent="0.25">
      <c r="B72" s="2"/>
      <c r="I72" s="1"/>
      <c r="M72" s="161"/>
    </row>
    <row r="73" spans="2:13" x14ac:dyDescent="0.25">
      <c r="B73" s="14" t="s">
        <v>52</v>
      </c>
      <c r="I73" s="1"/>
      <c r="M73" s="161"/>
    </row>
    <row r="74" spans="2:13" x14ac:dyDescent="0.25">
      <c r="B74" s="12" t="s">
        <v>54</v>
      </c>
      <c r="C74" s="8">
        <f>C59/Folkmängd!C17*100000</f>
        <v>85.257212325982536</v>
      </c>
      <c r="D74" s="8">
        <f>D59/Folkmängd!D17*100000</f>
        <v>93.589508616084132</v>
      </c>
      <c r="E74" s="8">
        <f>E59/Folkmängd!E17*100000</f>
        <v>96.180110722543461</v>
      </c>
      <c r="F74" s="8">
        <f>F59/Folkmängd!F17*100000</f>
        <v>89.629980382872219</v>
      </c>
      <c r="G74" s="8">
        <f>G59/Folkmängd!G17*100000</f>
        <v>93.841429064674983</v>
      </c>
      <c r="H74" s="8">
        <f>H59/Folkmängd!H17*100000</f>
        <v>88.813794913072613</v>
      </c>
      <c r="I74" s="8">
        <f>I59/Folkmängd!I17*100000</f>
        <v>90.503269434974584</v>
      </c>
      <c r="J74" s="8">
        <f>J59/Folkmängd!J17*100000</f>
        <v>90.530377549294712</v>
      </c>
      <c r="K74" s="8">
        <f>K59/Folkmängd!K17*100000</f>
        <v>103.71773620648828</v>
      </c>
      <c r="L74" s="8">
        <f>L59/Folkmängd!L17*100000</f>
        <v>90.982658580775364</v>
      </c>
      <c r="M74" s="8">
        <f>M59/[1]Folkmängd!M17*100000</f>
        <v>95.303827774076211</v>
      </c>
    </row>
    <row r="75" spans="2:13" x14ac:dyDescent="0.25">
      <c r="B75" s="12" t="s">
        <v>30</v>
      </c>
      <c r="C75" s="8">
        <f>C59/Folkmängd!C18*100000</f>
        <v>67.559536841841862</v>
      </c>
      <c r="D75" s="8">
        <f>D59/Folkmängd!D18*100000</f>
        <v>74.297884986874038</v>
      </c>
      <c r="E75" s="8">
        <f>E59/Folkmängd!E18*100000</f>
        <v>76.678648983547831</v>
      </c>
      <c r="F75" s="8">
        <f>F59/Folkmängd!F18*100000</f>
        <v>71.727813249044374</v>
      </c>
      <c r="G75" s="8">
        <f>G59/Folkmängd!G18*100000</f>
        <v>75.456700069845667</v>
      </c>
      <c r="H75" s="8">
        <f>H59/Folkmängd!H18*100000</f>
        <v>71.671798276237027</v>
      </c>
      <c r="I75" s="8">
        <f>I59/Folkmängd!I18*100000</f>
        <v>73.183407618305182</v>
      </c>
      <c r="J75" s="8">
        <f>J59/Folkmängd!J18*100000</f>
        <v>73.207218572249914</v>
      </c>
      <c r="K75" s="8">
        <f>K59/Folkmängd!K18*100000</f>
        <v>84.019105714450134</v>
      </c>
      <c r="L75" s="8">
        <f>L59/Folkmängd!L18*100000</f>
        <v>74.010308673890918</v>
      </c>
      <c r="M75" s="8">
        <f>M59/[1]Folkmängd!M18*100000</f>
        <v>74.930258088933783</v>
      </c>
    </row>
    <row r="76" spans="2:13" x14ac:dyDescent="0.25">
      <c r="B76" s="7"/>
      <c r="I76" s="1"/>
    </row>
    <row r="77" spans="2:13" x14ac:dyDescent="0.25">
      <c r="B77" s="63" t="s">
        <v>361</v>
      </c>
      <c r="I77" s="1"/>
    </row>
    <row r="78" spans="2:13" x14ac:dyDescent="0.25">
      <c r="B78" s="63" t="s">
        <v>362</v>
      </c>
      <c r="I78" s="1"/>
    </row>
    <row r="79" spans="2:13" x14ac:dyDescent="0.25">
      <c r="B79" s="63" t="s">
        <v>259</v>
      </c>
      <c r="I79" s="1"/>
    </row>
    <row r="80" spans="2:13" x14ac:dyDescent="0.25">
      <c r="B80" s="6"/>
      <c r="I80" s="1"/>
    </row>
    <row r="81" spans="2:13" x14ac:dyDescent="0.25">
      <c r="B81" s="7"/>
      <c r="I81" s="1"/>
    </row>
    <row r="82" spans="2:13" x14ac:dyDescent="0.25">
      <c r="I82" s="1"/>
    </row>
    <row r="83" spans="2:13" x14ac:dyDescent="0.25">
      <c r="I83" s="1"/>
    </row>
    <row r="84" spans="2:13" ht="18.75" x14ac:dyDescent="0.3">
      <c r="B84" s="15" t="s">
        <v>49</v>
      </c>
      <c r="C84" s="16">
        <v>2014</v>
      </c>
      <c r="D84" s="16">
        <v>2015</v>
      </c>
      <c r="E84" s="16">
        <v>2016</v>
      </c>
      <c r="F84" s="16">
        <v>2017</v>
      </c>
      <c r="G84" s="16">
        <v>2018</v>
      </c>
      <c r="H84" s="16">
        <v>2019</v>
      </c>
      <c r="I84" s="16">
        <v>2020</v>
      </c>
      <c r="J84" s="16">
        <v>2021</v>
      </c>
      <c r="K84" s="16">
        <v>2022</v>
      </c>
      <c r="L84" s="16">
        <v>2023</v>
      </c>
      <c r="M84" s="16">
        <v>2024</v>
      </c>
    </row>
    <row r="85" spans="2:13" x14ac:dyDescent="0.25">
      <c r="B85" s="2" t="s">
        <v>232</v>
      </c>
      <c r="C85" s="10">
        <v>2577</v>
      </c>
      <c r="D85" s="10">
        <v>2441</v>
      </c>
      <c r="E85" s="10">
        <v>2329</v>
      </c>
      <c r="F85" s="10">
        <v>2348</v>
      </c>
      <c r="G85" s="10">
        <v>2300.1999999999998</v>
      </c>
      <c r="H85" s="10">
        <v>2388</v>
      </c>
      <c r="I85" s="10">
        <v>2482.1</v>
      </c>
      <c r="J85" s="10">
        <v>2777.6</v>
      </c>
      <c r="K85" s="10">
        <v>2608.1</v>
      </c>
      <c r="L85" s="10">
        <v>2364.5</v>
      </c>
      <c r="M85" s="10">
        <v>2254.9</v>
      </c>
    </row>
    <row r="86" spans="2:13" x14ac:dyDescent="0.25">
      <c r="B86" s="2" t="s">
        <v>51</v>
      </c>
      <c r="C86" s="2"/>
      <c r="D86" s="2"/>
      <c r="E86" s="2"/>
      <c r="F86" s="2"/>
      <c r="G86" s="2"/>
      <c r="H86" s="2"/>
      <c r="I86" s="2"/>
      <c r="J86" s="2"/>
      <c r="K86" s="2"/>
      <c r="L86" s="2"/>
      <c r="M86" s="2"/>
    </row>
    <row r="87" spans="2:13" x14ac:dyDescent="0.25">
      <c r="B87" s="11" t="s">
        <v>20</v>
      </c>
      <c r="C87" s="2"/>
      <c r="D87" s="2"/>
      <c r="E87" s="2"/>
      <c r="F87" s="2"/>
      <c r="G87" s="2"/>
      <c r="H87" s="2"/>
      <c r="I87" s="2"/>
      <c r="J87" s="2"/>
      <c r="K87" s="2"/>
      <c r="L87" s="2"/>
      <c r="M87" s="2"/>
    </row>
    <row r="88" spans="2:13" x14ac:dyDescent="0.25">
      <c r="B88" s="11" t="s">
        <v>21</v>
      </c>
      <c r="C88" s="9">
        <v>1377</v>
      </c>
      <c r="D88" s="9">
        <v>1209</v>
      </c>
      <c r="E88" s="9">
        <v>1127</v>
      </c>
      <c r="F88" s="9">
        <v>1117.0999999999999</v>
      </c>
      <c r="G88" s="10">
        <v>1026.5</v>
      </c>
      <c r="H88" s="10">
        <v>1063</v>
      </c>
      <c r="I88" s="10">
        <v>1006.8</v>
      </c>
      <c r="J88" s="10">
        <v>1178.5</v>
      </c>
      <c r="K88" s="10">
        <v>1060</v>
      </c>
      <c r="L88" s="10">
        <v>971</v>
      </c>
      <c r="M88" s="10">
        <v>883.8</v>
      </c>
    </row>
    <row r="89" spans="2:13" x14ac:dyDescent="0.25">
      <c r="B89" s="11" t="s">
        <v>22</v>
      </c>
      <c r="C89" s="2">
        <v>353</v>
      </c>
      <c r="D89" s="2">
        <v>331</v>
      </c>
      <c r="E89" s="2">
        <v>320</v>
      </c>
      <c r="F89" s="2">
        <v>325</v>
      </c>
      <c r="G89" s="10">
        <v>296</v>
      </c>
      <c r="H89" s="10">
        <v>298</v>
      </c>
      <c r="I89" s="10">
        <v>268.5</v>
      </c>
      <c r="J89" s="10">
        <v>259.3</v>
      </c>
      <c r="K89" s="10">
        <v>270.89999999999998</v>
      </c>
      <c r="L89" s="10">
        <v>250</v>
      </c>
      <c r="M89" s="10">
        <v>213.9</v>
      </c>
    </row>
    <row r="90" spans="2:13" x14ac:dyDescent="0.25">
      <c r="B90" s="11" t="s">
        <v>23</v>
      </c>
      <c r="C90" s="2">
        <v>5</v>
      </c>
      <c r="D90" s="2">
        <v>5</v>
      </c>
      <c r="E90" s="2">
        <v>7</v>
      </c>
      <c r="F90" s="69">
        <v>5.4</v>
      </c>
      <c r="G90" s="10">
        <v>6.4</v>
      </c>
      <c r="H90" s="10">
        <v>6</v>
      </c>
      <c r="I90" s="10">
        <v>2.2999999999999998</v>
      </c>
      <c r="J90" s="10">
        <v>0</v>
      </c>
      <c r="K90" s="10">
        <v>0</v>
      </c>
      <c r="L90" s="10">
        <v>0</v>
      </c>
      <c r="M90" s="10">
        <v>0</v>
      </c>
    </row>
    <row r="91" spans="2:13" x14ac:dyDescent="0.25">
      <c r="B91" s="11" t="s">
        <v>24</v>
      </c>
      <c r="C91" s="2"/>
      <c r="D91" s="2"/>
      <c r="E91" s="2"/>
      <c r="F91" s="2"/>
      <c r="G91" s="10"/>
      <c r="H91" s="10"/>
      <c r="I91" s="10"/>
      <c r="J91" s="10"/>
      <c r="K91" s="10"/>
      <c r="L91" s="10"/>
      <c r="M91" s="10"/>
    </row>
    <row r="92" spans="2:13" x14ac:dyDescent="0.25">
      <c r="B92" s="5" t="s">
        <v>382</v>
      </c>
      <c r="C92" s="2">
        <v>492</v>
      </c>
      <c r="D92" s="2">
        <v>479</v>
      </c>
      <c r="E92" s="2">
        <v>452</v>
      </c>
      <c r="F92" s="69">
        <v>425.5</v>
      </c>
      <c r="G92" s="10">
        <v>406.6</v>
      </c>
      <c r="H92" s="10">
        <v>351</v>
      </c>
      <c r="I92" s="10">
        <v>337.5</v>
      </c>
      <c r="J92" s="10">
        <v>369.3</v>
      </c>
      <c r="K92" s="10">
        <v>351.2</v>
      </c>
      <c r="L92" s="10">
        <v>369</v>
      </c>
      <c r="M92" s="10">
        <v>388.7</v>
      </c>
    </row>
    <row r="93" spans="2:13" x14ac:dyDescent="0.25">
      <c r="B93" s="11" t="s">
        <v>25</v>
      </c>
      <c r="C93" s="2"/>
      <c r="D93" s="2"/>
      <c r="E93" s="2"/>
      <c r="F93" s="2"/>
      <c r="G93" s="10"/>
      <c r="H93" s="10"/>
      <c r="I93" s="10"/>
      <c r="J93" s="10"/>
      <c r="K93" s="10"/>
      <c r="L93" s="10"/>
      <c r="M93" s="10"/>
    </row>
    <row r="94" spans="2:13" x14ac:dyDescent="0.25">
      <c r="B94" s="11" t="s">
        <v>26</v>
      </c>
      <c r="C94" s="2"/>
      <c r="D94" s="2"/>
      <c r="E94" s="2"/>
      <c r="F94" s="2"/>
      <c r="G94" s="10"/>
      <c r="H94" s="10"/>
      <c r="I94" s="10"/>
      <c r="J94" s="10"/>
      <c r="K94" s="10"/>
      <c r="L94" s="10"/>
      <c r="M94" s="10"/>
    </row>
    <row r="95" spans="2:13" x14ac:dyDescent="0.25">
      <c r="B95" s="11" t="s">
        <v>53</v>
      </c>
      <c r="C95" s="69">
        <v>209</v>
      </c>
      <c r="D95" s="2">
        <v>251</v>
      </c>
      <c r="E95" s="2">
        <v>257</v>
      </c>
      <c r="F95" s="69">
        <v>257.5</v>
      </c>
      <c r="G95" s="10">
        <v>250.7</v>
      </c>
      <c r="H95" s="10">
        <v>255</v>
      </c>
      <c r="I95" s="10">
        <v>285.2</v>
      </c>
      <c r="J95" s="10">
        <v>322.7</v>
      </c>
      <c r="K95" s="10">
        <v>293.8</v>
      </c>
      <c r="L95" s="10">
        <v>292.5</v>
      </c>
      <c r="M95" s="10">
        <v>291</v>
      </c>
    </row>
    <row r="96" spans="2:13" x14ac:dyDescent="0.25">
      <c r="B96" s="11" t="s">
        <v>28</v>
      </c>
      <c r="C96" s="69">
        <v>41.4</v>
      </c>
      <c r="D96" s="2">
        <v>57</v>
      </c>
      <c r="E96" s="2">
        <v>63</v>
      </c>
      <c r="F96" s="69">
        <v>70.900000000000006</v>
      </c>
      <c r="G96" s="10">
        <v>61.2</v>
      </c>
      <c r="H96" s="10">
        <v>59</v>
      </c>
      <c r="I96" s="10">
        <v>73</v>
      </c>
      <c r="J96" s="10">
        <v>83.7</v>
      </c>
      <c r="K96" s="10">
        <v>76.400000000000006</v>
      </c>
      <c r="L96" s="10">
        <v>83.6</v>
      </c>
      <c r="M96" s="10">
        <v>80.099999999999994</v>
      </c>
    </row>
    <row r="97" spans="2:13" x14ac:dyDescent="0.25">
      <c r="B97" s="11" t="s">
        <v>249</v>
      </c>
      <c r="C97" s="9">
        <f>C85-SUM(C87:C96)</f>
        <v>99.599999999999909</v>
      </c>
      <c r="D97" s="9">
        <f t="shared" ref="D97:E97" si="2">D85-SUM(D87:D96)</f>
        <v>109</v>
      </c>
      <c r="E97" s="9">
        <f t="shared" si="2"/>
        <v>103</v>
      </c>
      <c r="F97" s="9">
        <f>F85-SUM(F87:F96)</f>
        <v>146.59999999999991</v>
      </c>
      <c r="G97" s="9">
        <f>G85-SUM(G87:G96)</f>
        <v>252.79999999999973</v>
      </c>
      <c r="H97" s="9">
        <f>H85-SUM(H87:H96)</f>
        <v>356</v>
      </c>
      <c r="I97" s="9">
        <f>I85-SUM(I87:I96)</f>
        <v>508.79999999999995</v>
      </c>
      <c r="J97" s="9">
        <v>564.10000000000036</v>
      </c>
      <c r="K97" s="9">
        <f>K85-K88-K89-K92-K95-K96</f>
        <v>555.79999999999984</v>
      </c>
      <c r="L97" s="9">
        <f>L85-L88-L89-L92-L95-L96</f>
        <v>398.4</v>
      </c>
      <c r="M97" s="9">
        <f>M85-M88-M89-M92-M95-M96</f>
        <v>397.4</v>
      </c>
    </row>
    <row r="98" spans="2:13" x14ac:dyDescent="0.25">
      <c r="B98" s="2"/>
      <c r="C98" s="2"/>
      <c r="D98" s="2"/>
      <c r="E98" s="2"/>
      <c r="F98" s="2"/>
      <c r="G98" s="2"/>
      <c r="H98" s="2"/>
      <c r="I98" s="2"/>
      <c r="J98" s="2"/>
      <c r="K98" s="2"/>
      <c r="L98" s="2"/>
      <c r="M98" s="2"/>
    </row>
    <row r="99" spans="2:13" x14ac:dyDescent="0.25">
      <c r="B99" s="14" t="s">
        <v>52</v>
      </c>
      <c r="C99" s="2"/>
      <c r="D99" s="2"/>
      <c r="E99" s="2"/>
      <c r="F99" s="2"/>
      <c r="G99" s="2"/>
      <c r="H99" s="2"/>
      <c r="I99" s="2"/>
      <c r="J99" s="2"/>
      <c r="K99" s="2"/>
      <c r="L99" s="2"/>
      <c r="M99" s="2"/>
    </row>
    <row r="100" spans="2:13" x14ac:dyDescent="0.25">
      <c r="B100" s="12" t="s">
        <v>54</v>
      </c>
      <c r="C100" s="8">
        <f>C85/Folkmängd!C23*100000</f>
        <v>61.677114918322701</v>
      </c>
      <c r="D100" s="8">
        <f>D85/Folkmängd!D23*100000</f>
        <v>57.660386700174726</v>
      </c>
      <c r="E100" s="8">
        <f>E85/Folkmängd!E23*100000</f>
        <v>54.415506433366119</v>
      </c>
      <c r="F100" s="8">
        <f>F85/Folkmängd!F23*100000</f>
        <v>54.344215986318595</v>
      </c>
      <c r="G100" s="8">
        <f>G85/Folkmängd!G23*100000</f>
        <v>52.797023424920553</v>
      </c>
      <c r="H100" s="8">
        <f>H85/Folkmängd!H23*100000</f>
        <v>54.356065003298241</v>
      </c>
      <c r="I100" s="8">
        <f>I85/Folkmängd!I23*100000</f>
        <v>55.935240328179248</v>
      </c>
      <c r="J100" s="8">
        <f>J85/Folkmängd!J23*100000</f>
        <v>62.141788697335748</v>
      </c>
      <c r="K100" s="8">
        <f>K85/Folkmängd!K23*100000</f>
        <v>57.838463454167773</v>
      </c>
      <c r="L100" s="8">
        <f>L85/Folkmängd!L23*100000</f>
        <v>51.706602153505081</v>
      </c>
      <c r="M100" s="8">
        <f>M85/Folkmängd!M23*100000</f>
        <v>48.606672666425958</v>
      </c>
    </row>
    <row r="101" spans="2:13" x14ac:dyDescent="0.25">
      <c r="B101" s="12" t="s">
        <v>30</v>
      </c>
      <c r="C101" s="8">
        <f>C85/Folkmängd!C24*100000</f>
        <v>50.439846421726443</v>
      </c>
      <c r="D101" s="8">
        <f>D85/Folkmängd!D24*100000</f>
        <v>47.253069320117184</v>
      </c>
      <c r="E101" s="8">
        <f>E85/Folkmängd!E24*100000</f>
        <v>44.668329502290476</v>
      </c>
      <c r="F101" s="8">
        <f>F85/Folkmängd!F24*100000</f>
        <v>44.653070554704101</v>
      </c>
      <c r="G101" s="8">
        <f>G85/Folkmängd!G24*100000</f>
        <v>43.43590428238889</v>
      </c>
      <c r="H101" s="8">
        <f>H85/Folkmängd!H24*100000</f>
        <v>44.818036519567919</v>
      </c>
      <c r="I101" s="8">
        <f>I85/Folkmängd!I24*100000</f>
        <v>46.24244072747868</v>
      </c>
      <c r="J101" s="8">
        <f>J85/Folkmängd!J24*100000</f>
        <v>51.519382182892691</v>
      </c>
      <c r="K101" s="8">
        <f>K85/Folkmängd!K24*100000</f>
        <v>48.073183454464015</v>
      </c>
      <c r="L101" s="8">
        <f>L85/Folkmängd!L24*100000</f>
        <v>43.077188783935242</v>
      </c>
      <c r="M101" s="8">
        <f>M85/Folkmängd!M24*100000</f>
        <v>40.627342819713085</v>
      </c>
    </row>
    <row r="102" spans="2:13" x14ac:dyDescent="0.25">
      <c r="B102" s="7"/>
      <c r="I102" s="1"/>
    </row>
    <row r="103" spans="2:13" x14ac:dyDescent="0.25">
      <c r="B103" s="63" t="s">
        <v>230</v>
      </c>
      <c r="I103" s="1"/>
    </row>
    <row r="104" spans="2:13" x14ac:dyDescent="0.25">
      <c r="B104" s="89" t="s">
        <v>305</v>
      </c>
      <c r="C104" s="90"/>
      <c r="D104" s="90"/>
      <c r="E104" s="90"/>
      <c r="F104" s="90"/>
      <c r="G104" s="90"/>
      <c r="H104" s="90"/>
      <c r="I104" s="90"/>
      <c r="K104" s="90"/>
    </row>
    <row r="105" spans="2:13" x14ac:dyDescent="0.25">
      <c r="B105" s="97" t="s">
        <v>292</v>
      </c>
      <c r="C105" s="90"/>
      <c r="D105" s="90"/>
      <c r="E105" s="90"/>
      <c r="F105" s="90"/>
      <c r="G105" s="90"/>
      <c r="H105" s="90"/>
      <c r="I105" s="90"/>
      <c r="K105" s="90"/>
    </row>
    <row r="106" spans="2:13" x14ac:dyDescent="0.25">
      <c r="B106" s="64"/>
      <c r="I106" s="1"/>
    </row>
    <row r="107" spans="2:13" x14ac:dyDescent="0.25">
      <c r="B107" s="7"/>
      <c r="I107" s="1"/>
    </row>
    <row r="108" spans="2:13" x14ac:dyDescent="0.25">
      <c r="I108" s="1"/>
    </row>
    <row r="109" spans="2:13" x14ac:dyDescent="0.25">
      <c r="I109" s="1"/>
    </row>
    <row r="110" spans="2:13" ht="18.75" x14ac:dyDescent="0.3">
      <c r="B110" s="15" t="s">
        <v>50</v>
      </c>
      <c r="C110" s="16">
        <v>2014</v>
      </c>
      <c r="D110" s="16">
        <v>2015</v>
      </c>
      <c r="E110" s="16">
        <v>2016</v>
      </c>
      <c r="F110" s="16">
        <v>2017</v>
      </c>
      <c r="G110" s="16">
        <v>2018</v>
      </c>
      <c r="H110" s="16">
        <v>2019</v>
      </c>
      <c r="I110" s="16">
        <v>2020</v>
      </c>
      <c r="J110" s="16">
        <v>2021</v>
      </c>
      <c r="K110" s="16">
        <v>2022</v>
      </c>
      <c r="L110" s="16">
        <v>2023</v>
      </c>
      <c r="M110" s="16">
        <v>2024</v>
      </c>
    </row>
    <row r="111" spans="2:13" x14ac:dyDescent="0.25">
      <c r="B111" s="2" t="s">
        <v>232</v>
      </c>
      <c r="C111" s="10">
        <f t="shared" ref="C111:H111" si="3">SUM(C113:C123)</f>
        <v>12088</v>
      </c>
      <c r="D111" s="10">
        <f t="shared" si="3"/>
        <v>11407</v>
      </c>
      <c r="E111" s="10">
        <f t="shared" si="3"/>
        <v>10731</v>
      </c>
      <c r="F111" s="10">
        <f t="shared" si="3"/>
        <v>9879</v>
      </c>
      <c r="G111" s="10">
        <f t="shared" si="3"/>
        <v>10079.65</v>
      </c>
      <c r="H111" s="10">
        <f t="shared" si="3"/>
        <v>10323.120000000001</v>
      </c>
      <c r="I111" s="10">
        <f>SUM(I113:I123)</f>
        <v>10907.3</v>
      </c>
      <c r="J111" s="10">
        <f>SUM(J113:J123)</f>
        <v>12338.859999999999</v>
      </c>
      <c r="K111" s="10">
        <f>SUM(K113:K123)</f>
        <v>13239.39</v>
      </c>
      <c r="L111" s="10">
        <f>SUM(L113:L123)</f>
        <v>14615.5</v>
      </c>
      <c r="M111" s="10">
        <f>SUM(M113:M123)</f>
        <v>16038.060000000001</v>
      </c>
    </row>
    <row r="112" spans="2:13" x14ac:dyDescent="0.25">
      <c r="B112" s="2" t="s">
        <v>51</v>
      </c>
      <c r="C112" s="21"/>
      <c r="D112" s="21"/>
      <c r="E112" s="21"/>
      <c r="F112" s="21"/>
      <c r="G112" s="2"/>
      <c r="H112" s="2"/>
      <c r="I112" s="2"/>
      <c r="J112" s="2"/>
      <c r="K112" s="2"/>
      <c r="L112" s="2"/>
      <c r="M112" s="2"/>
    </row>
    <row r="113" spans="2:13" x14ac:dyDescent="0.25">
      <c r="B113" s="11" t="s">
        <v>233</v>
      </c>
      <c r="C113" s="20">
        <f>1513+754</f>
        <v>2267</v>
      </c>
      <c r="D113" s="20">
        <f>1319+753</f>
        <v>2072</v>
      </c>
      <c r="E113" s="20">
        <f>1181+641</f>
        <v>1822</v>
      </c>
      <c r="F113" s="20">
        <f>1118+626</f>
        <v>1744</v>
      </c>
      <c r="G113" s="10">
        <v>1854.23</v>
      </c>
      <c r="H113" s="10">
        <v>1827.24</v>
      </c>
      <c r="I113" s="10">
        <v>1714.23</v>
      </c>
      <c r="J113" s="10">
        <v>1892.45</v>
      </c>
      <c r="K113" s="10">
        <v>2036.72</v>
      </c>
      <c r="L113" s="10">
        <v>2275.16</v>
      </c>
      <c r="M113" s="10">
        <v>2508.8200000000002</v>
      </c>
    </row>
    <row r="114" spans="2:13" x14ac:dyDescent="0.25">
      <c r="B114" s="11" t="s">
        <v>21</v>
      </c>
      <c r="C114" s="2"/>
      <c r="D114" s="2"/>
      <c r="E114" s="2"/>
      <c r="F114" s="2"/>
      <c r="G114" s="8"/>
      <c r="H114" s="8"/>
      <c r="I114" s="8"/>
      <c r="J114" s="8"/>
      <c r="K114" s="8"/>
      <c r="L114" s="8"/>
      <c r="M114" s="8"/>
    </row>
    <row r="115" spans="2:13" x14ac:dyDescent="0.25">
      <c r="B115" s="11" t="s">
        <v>22</v>
      </c>
      <c r="C115" s="20">
        <v>3746</v>
      </c>
      <c r="D115" s="20">
        <v>3550</v>
      </c>
      <c r="E115" s="20">
        <v>3392</v>
      </c>
      <c r="F115" s="20">
        <v>2983</v>
      </c>
      <c r="G115" s="18">
        <v>2843.41</v>
      </c>
      <c r="H115" s="18">
        <v>3043.78</v>
      </c>
      <c r="I115" s="18">
        <v>3955.45</v>
      </c>
      <c r="J115" s="18">
        <v>5160.83</v>
      </c>
      <c r="K115" s="18">
        <v>5516.24</v>
      </c>
      <c r="L115" s="18">
        <v>5760.6</v>
      </c>
      <c r="M115" s="18">
        <v>6243.18</v>
      </c>
    </row>
    <row r="116" spans="2:13" x14ac:dyDescent="0.25">
      <c r="B116" s="11" t="s">
        <v>23</v>
      </c>
      <c r="C116" s="2"/>
      <c r="D116" s="2"/>
      <c r="E116" s="2"/>
      <c r="F116" s="2"/>
      <c r="G116" s="8"/>
      <c r="H116" s="8"/>
      <c r="I116" s="8"/>
      <c r="J116" s="8"/>
      <c r="K116" s="8"/>
      <c r="L116" s="8"/>
      <c r="M116" s="8"/>
    </row>
    <row r="117" spans="2:13" x14ac:dyDescent="0.25">
      <c r="B117" s="11" t="s">
        <v>24</v>
      </c>
      <c r="C117" s="2"/>
      <c r="D117" s="2"/>
      <c r="E117" s="2"/>
      <c r="F117" s="2"/>
      <c r="G117" s="2"/>
      <c r="H117" s="2"/>
      <c r="I117" s="2"/>
      <c r="J117" s="2"/>
      <c r="K117" s="2"/>
      <c r="L117" s="2"/>
      <c r="M117" s="2"/>
    </row>
    <row r="118" spans="2:13" x14ac:dyDescent="0.25">
      <c r="B118" s="5" t="s">
        <v>382</v>
      </c>
      <c r="C118" s="2"/>
      <c r="D118" s="2"/>
      <c r="E118" s="2"/>
      <c r="F118" s="2"/>
      <c r="G118" s="2"/>
      <c r="H118" s="2"/>
      <c r="I118" s="2"/>
      <c r="J118" s="2"/>
      <c r="K118" s="2"/>
      <c r="L118" s="2"/>
      <c r="M118" s="2"/>
    </row>
    <row r="119" spans="2:13" x14ac:dyDescent="0.25">
      <c r="B119" s="11" t="s">
        <v>25</v>
      </c>
      <c r="C119" s="20">
        <v>1072</v>
      </c>
      <c r="D119" s="20">
        <v>910</v>
      </c>
      <c r="E119" s="20">
        <v>797</v>
      </c>
      <c r="F119" s="20">
        <v>725</v>
      </c>
      <c r="G119" s="88">
        <v>782.68</v>
      </c>
      <c r="H119" s="88">
        <v>729.57</v>
      </c>
      <c r="I119" s="88">
        <v>649.4</v>
      </c>
      <c r="J119" s="88">
        <v>629.01</v>
      </c>
      <c r="K119" s="88">
        <v>596.61</v>
      </c>
      <c r="L119" s="88">
        <v>609.79</v>
      </c>
      <c r="M119" s="88">
        <v>687.92</v>
      </c>
    </row>
    <row r="120" spans="2:13" x14ac:dyDescent="0.25">
      <c r="B120" s="11" t="s">
        <v>26</v>
      </c>
      <c r="C120" s="20">
        <v>4637</v>
      </c>
      <c r="D120" s="20">
        <v>4497</v>
      </c>
      <c r="E120" s="20">
        <v>4368</v>
      </c>
      <c r="F120" s="20">
        <v>4097</v>
      </c>
      <c r="G120" s="20">
        <v>4294.9799999999996</v>
      </c>
      <c r="H120" s="20">
        <v>4397.88</v>
      </c>
      <c r="I120" s="20">
        <v>4249.7299999999996</v>
      </c>
      <c r="J120" s="20">
        <v>4270.1899999999996</v>
      </c>
      <c r="K120" s="20">
        <v>4674.92</v>
      </c>
      <c r="L120" s="20">
        <v>5492.04</v>
      </c>
      <c r="M120" s="20">
        <v>5990.68</v>
      </c>
    </row>
    <row r="121" spans="2:13" x14ac:dyDescent="0.25">
      <c r="B121" s="11" t="s">
        <v>53</v>
      </c>
      <c r="C121" s="2">
        <v>241</v>
      </c>
      <c r="D121" s="2">
        <v>235</v>
      </c>
      <c r="E121" s="2">
        <v>226</v>
      </c>
      <c r="F121" s="2">
        <v>201</v>
      </c>
      <c r="G121" s="20">
        <v>188.5</v>
      </c>
      <c r="H121" s="20">
        <v>187.67</v>
      </c>
      <c r="I121" s="20">
        <v>187.48</v>
      </c>
      <c r="J121" s="20">
        <v>204.35</v>
      </c>
      <c r="K121" s="20">
        <v>196.07</v>
      </c>
      <c r="L121" s="20">
        <v>219.76</v>
      </c>
      <c r="M121" s="20">
        <v>235.87</v>
      </c>
    </row>
    <row r="122" spans="2:13" x14ac:dyDescent="0.25">
      <c r="B122" s="11" t="s">
        <v>28</v>
      </c>
      <c r="C122" s="2">
        <v>125</v>
      </c>
      <c r="D122" s="2">
        <v>143</v>
      </c>
      <c r="E122" s="2">
        <v>126</v>
      </c>
      <c r="F122" s="2">
        <v>129</v>
      </c>
      <c r="G122" s="20">
        <v>115.85</v>
      </c>
      <c r="H122" s="20">
        <v>136.97999999999999</v>
      </c>
      <c r="I122" s="20">
        <v>151.01</v>
      </c>
      <c r="J122" s="20">
        <v>170.55</v>
      </c>
      <c r="K122" s="20">
        <v>175.1</v>
      </c>
      <c r="L122" s="20">
        <v>181.15</v>
      </c>
      <c r="M122" s="20">
        <v>250.76</v>
      </c>
    </row>
    <row r="123" spans="2:13" x14ac:dyDescent="0.25">
      <c r="B123" s="11" t="s">
        <v>258</v>
      </c>
      <c r="C123" s="10"/>
      <c r="D123" s="10"/>
      <c r="E123" s="10"/>
      <c r="F123" s="10"/>
      <c r="G123" s="8"/>
      <c r="H123" s="8"/>
      <c r="I123" s="8"/>
      <c r="J123" s="70">
        <v>11.48</v>
      </c>
      <c r="K123" s="70">
        <v>43.73</v>
      </c>
      <c r="L123" s="70">
        <v>77</v>
      </c>
      <c r="M123" s="70">
        <v>120.83</v>
      </c>
    </row>
    <row r="124" spans="2:13" x14ac:dyDescent="0.25">
      <c r="B124" s="2"/>
      <c r="C124" s="2"/>
      <c r="D124" s="2"/>
      <c r="E124" s="2"/>
      <c r="F124" s="2"/>
      <c r="G124" s="19"/>
      <c r="H124" s="19"/>
      <c r="I124" s="19"/>
      <c r="J124" s="19"/>
      <c r="K124" s="19"/>
      <c r="L124" s="19"/>
      <c r="M124" s="19"/>
    </row>
    <row r="125" spans="2:13" x14ac:dyDescent="0.25">
      <c r="B125" s="14" t="s">
        <v>52</v>
      </c>
      <c r="C125" s="2"/>
      <c r="D125" s="2"/>
      <c r="E125" s="2"/>
      <c r="F125" s="2"/>
      <c r="G125" s="19"/>
      <c r="H125" s="19"/>
      <c r="I125" s="19"/>
      <c r="J125" s="19"/>
      <c r="K125" s="19"/>
      <c r="L125" s="19"/>
      <c r="M125" s="19"/>
    </row>
    <row r="126" spans="2:13" x14ac:dyDescent="0.25">
      <c r="B126" s="12" t="s">
        <v>54</v>
      </c>
      <c r="C126" s="8">
        <f>C111/Folkmängd!C29*100000</f>
        <v>149.87622316877119</v>
      </c>
      <c r="D126" s="8">
        <f>D111/Folkmängd!D29*100000</f>
        <v>140.24067744349125</v>
      </c>
      <c r="E126" s="8">
        <f>E111/Folkmängd!E29*100000</f>
        <v>130.32296315871483</v>
      </c>
      <c r="F126" s="8">
        <f>F111/Folkmängd!F29*100000</f>
        <v>118.65861355956021</v>
      </c>
      <c r="G126" s="8">
        <f>G111/Folkmängd!G29*100000</f>
        <v>119.84665278553267</v>
      </c>
      <c r="H126" s="8">
        <f>H111/Folkmängd!H29*100000</f>
        <v>121.55188979611832</v>
      </c>
      <c r="I126" s="8">
        <f>I111/Folkmängd!I29*100000</f>
        <v>127.6977560256709</v>
      </c>
      <c r="J126" s="8">
        <f>J111/Folkmängd!J29*100000</f>
        <v>143.2548536128694</v>
      </c>
      <c r="K126" s="8">
        <f>K111/Folkmängd!K29*100000</f>
        <v>152.30884503045914</v>
      </c>
      <c r="L126" s="8">
        <f>L111/Folkmängd!L29*100000</f>
        <v>167.07006734928143</v>
      </c>
      <c r="M126" s="8">
        <f>M111/Folkmängd!M29*100000</f>
        <v>182.05947798913914</v>
      </c>
    </row>
    <row r="127" spans="2:13" x14ac:dyDescent="0.25">
      <c r="B127" s="12" t="s">
        <v>30</v>
      </c>
      <c r="C127" s="8">
        <f>C111/Folkmängd!C30*100000</f>
        <v>124.01312971570236</v>
      </c>
      <c r="D127" s="8">
        <f>D111/Folkmängd!D30*100000</f>
        <v>115.79515089660286</v>
      </c>
      <c r="E127" s="8">
        <f>E111/Folkmängd!E30*100000</f>
        <v>107.3620383800028</v>
      </c>
      <c r="F127" s="8">
        <f>F111/Folkmängd!F30*100000</f>
        <v>97.61624277364119</v>
      </c>
      <c r="G127" s="8">
        <f>G111/Folkmängd!G30*100000</f>
        <v>98.528521233975738</v>
      </c>
      <c r="H127" s="8">
        <f>H111/Folkmängd!H30*100000</f>
        <v>99.956727557612922</v>
      </c>
      <c r="I127" s="8">
        <f>I111/Folkmängd!I30*100000</f>
        <v>105.08709888292027</v>
      </c>
      <c r="J127" s="8">
        <f>J111/Folkmängd!J30*100000</f>
        <v>118.0489395374771</v>
      </c>
      <c r="K127" s="8">
        <f>K111/Folkmängd!K30*100000</f>
        <v>125.83110330829395</v>
      </c>
      <c r="L127" s="8">
        <f>L111/Folkmängd!L30*100000</f>
        <v>138.5131334674096</v>
      </c>
      <c r="M127" s="8">
        <f>M111/Folkmängd!M30*100000</f>
        <v>151.47808166260694</v>
      </c>
    </row>
    <row r="128" spans="2:13" x14ac:dyDescent="0.25">
      <c r="B128" s="7"/>
    </row>
    <row r="129" spans="2:2" x14ac:dyDescent="0.25">
      <c r="B129" s="63" t="s">
        <v>268</v>
      </c>
    </row>
    <row r="130" spans="2:2" x14ac:dyDescent="0.25">
      <c r="B130" s="63" t="s">
        <v>231</v>
      </c>
    </row>
    <row r="131" spans="2:2" x14ac:dyDescent="0.25">
      <c r="B131" s="14" t="s">
        <v>326</v>
      </c>
    </row>
    <row r="132" spans="2:2" x14ac:dyDescent="0.25">
      <c r="B132" s="13" t="s">
        <v>308</v>
      </c>
    </row>
    <row r="133" spans="2:2" x14ac:dyDescent="0.25">
      <c r="B133" s="7"/>
    </row>
  </sheetData>
  <pageMargins left="0.7" right="0.7" top="0.75" bottom="0.75" header="0.3" footer="0.3"/>
  <pageSetup paperSize="9" orientation="portrait" r:id="rId1"/>
  <ignoredErrors>
    <ignoredError sqref="C97:G97 K97:L9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131"/>
  <sheetViews>
    <sheetView zoomScaleNormal="100" workbookViewId="0">
      <pane ySplit="2" topLeftCell="A3" activePane="bottomLeft" state="frozen"/>
      <selection activeCell="K42" sqref="K42"/>
      <selection pane="bottomLeft" activeCell="B1" sqref="B1"/>
    </sheetView>
  </sheetViews>
  <sheetFormatPr defaultColWidth="9" defaultRowHeight="15" x14ac:dyDescent="0.25"/>
  <cols>
    <col min="1" max="1" width="1.625" style="1" customWidth="1"/>
    <col min="2" max="2" width="44" style="1" customWidth="1"/>
    <col min="3" max="10" width="10" style="1" customWidth="1"/>
    <col min="11" max="16384" width="9" style="1"/>
  </cols>
  <sheetData>
    <row r="2" spans="2:13" ht="18.75" x14ac:dyDescent="0.3">
      <c r="B2" s="4" t="s">
        <v>283</v>
      </c>
    </row>
    <row r="3" spans="2:13" ht="18.75" x14ac:dyDescent="0.3">
      <c r="B3" s="4"/>
    </row>
    <row r="4" spans="2:13" ht="18.75" x14ac:dyDescent="0.3">
      <c r="B4" s="15" t="s">
        <v>108</v>
      </c>
      <c r="C4" s="16">
        <v>2014</v>
      </c>
      <c r="D4" s="16">
        <v>2015</v>
      </c>
      <c r="E4" s="16">
        <v>2016</v>
      </c>
      <c r="F4" s="16">
        <v>2017</v>
      </c>
      <c r="G4" s="16">
        <v>2018</v>
      </c>
      <c r="H4" s="16">
        <v>2019</v>
      </c>
      <c r="I4" s="16">
        <v>2020</v>
      </c>
      <c r="J4" s="16">
        <v>2021</v>
      </c>
      <c r="K4" s="16">
        <v>2022</v>
      </c>
      <c r="L4" s="16">
        <v>2023</v>
      </c>
      <c r="M4" s="16">
        <v>2024</v>
      </c>
    </row>
    <row r="5" spans="2:13" x14ac:dyDescent="0.25">
      <c r="B5" s="22" t="s">
        <v>284</v>
      </c>
      <c r="C5" s="9">
        <v>2192</v>
      </c>
      <c r="D5" s="9">
        <v>2041</v>
      </c>
      <c r="E5" s="9">
        <v>2206</v>
      </c>
      <c r="F5" s="9">
        <v>2143</v>
      </c>
      <c r="G5" s="40">
        <v>2255</v>
      </c>
      <c r="H5" s="40">
        <v>2425</v>
      </c>
      <c r="I5" s="40">
        <v>2504</v>
      </c>
      <c r="J5" s="40">
        <v>2656</v>
      </c>
      <c r="K5" s="117">
        <v>2584</v>
      </c>
      <c r="L5" s="40">
        <v>2557</v>
      </c>
      <c r="M5" s="40">
        <v>2854</v>
      </c>
    </row>
    <row r="6" spans="2:13" x14ac:dyDescent="0.25">
      <c r="B6" s="2" t="s">
        <v>51</v>
      </c>
      <c r="C6" s="2"/>
      <c r="D6" s="2"/>
      <c r="E6" s="2"/>
      <c r="F6" s="2"/>
      <c r="G6" s="2"/>
      <c r="H6" s="2"/>
      <c r="I6" s="2"/>
      <c r="J6" s="2"/>
      <c r="K6" s="118"/>
      <c r="L6" s="2"/>
      <c r="M6" s="2"/>
    </row>
    <row r="7" spans="2:13" x14ac:dyDescent="0.25">
      <c r="B7" s="22" t="s">
        <v>55</v>
      </c>
      <c r="C7" s="2"/>
      <c r="D7" s="2"/>
      <c r="E7" s="2"/>
      <c r="F7" s="2"/>
      <c r="G7" s="2"/>
      <c r="H7" s="2"/>
      <c r="I7" s="2"/>
      <c r="J7" s="2"/>
      <c r="K7" s="118"/>
      <c r="L7" s="2"/>
      <c r="M7" s="2"/>
    </row>
    <row r="8" spans="2:13" x14ac:dyDescent="0.25">
      <c r="B8" s="11" t="s">
        <v>58</v>
      </c>
      <c r="C8" s="74">
        <v>75</v>
      </c>
      <c r="D8" s="74">
        <v>57</v>
      </c>
      <c r="E8" s="74">
        <v>91</v>
      </c>
      <c r="F8" s="74">
        <v>68</v>
      </c>
      <c r="G8" s="2">
        <v>63</v>
      </c>
      <c r="H8" s="19">
        <v>83</v>
      </c>
      <c r="I8" s="2">
        <v>107</v>
      </c>
      <c r="J8" s="2">
        <v>110</v>
      </c>
      <c r="K8" s="109">
        <v>113</v>
      </c>
      <c r="L8" s="2">
        <v>111</v>
      </c>
      <c r="M8" s="2">
        <v>147</v>
      </c>
    </row>
    <row r="9" spans="2:13" x14ac:dyDescent="0.25">
      <c r="B9" s="12" t="s">
        <v>42</v>
      </c>
      <c r="C9" s="8">
        <f>C8/C5*100</f>
        <v>3.4215328467153285</v>
      </c>
      <c r="D9" s="8">
        <f t="shared" ref="D9:L9" si="0">D8/D5*100</f>
        <v>2.7927486526212641</v>
      </c>
      <c r="E9" s="8">
        <f t="shared" si="0"/>
        <v>4.1251133272892115</v>
      </c>
      <c r="F9" s="8">
        <f t="shared" si="0"/>
        <v>3.1731217918805412</v>
      </c>
      <c r="G9" s="8">
        <f t="shared" si="0"/>
        <v>2.7937915742793793</v>
      </c>
      <c r="H9" s="8">
        <f t="shared" si="0"/>
        <v>3.4226804123711339</v>
      </c>
      <c r="I9" s="8">
        <f t="shared" si="0"/>
        <v>4.2731629392971247</v>
      </c>
      <c r="J9" s="8">
        <f t="shared" si="0"/>
        <v>4.1415662650602414</v>
      </c>
      <c r="K9" s="8">
        <f t="shared" si="0"/>
        <v>4.3730650154798756</v>
      </c>
      <c r="L9" s="8">
        <f t="shared" si="0"/>
        <v>4.3410246382479469</v>
      </c>
      <c r="M9" s="8">
        <f>M8/M5*100</f>
        <v>5.1506657323055354</v>
      </c>
    </row>
    <row r="10" spans="2:13" x14ac:dyDescent="0.25">
      <c r="B10" s="22" t="s">
        <v>56</v>
      </c>
      <c r="C10" s="2"/>
      <c r="D10" s="2"/>
      <c r="E10" s="2"/>
      <c r="F10" s="2"/>
      <c r="G10" s="2"/>
      <c r="H10" s="2"/>
      <c r="I10" s="2"/>
      <c r="J10" s="2"/>
      <c r="K10" s="118"/>
      <c r="L10" s="118"/>
      <c r="M10" s="118"/>
    </row>
    <row r="11" spans="2:13" x14ac:dyDescent="0.25">
      <c r="B11" s="11" t="s">
        <v>58</v>
      </c>
      <c r="C11" s="2">
        <v>402</v>
      </c>
      <c r="D11" s="2">
        <v>380</v>
      </c>
      <c r="E11" s="2">
        <f>954-529</f>
        <v>425</v>
      </c>
      <c r="F11" s="2">
        <v>441</v>
      </c>
      <c r="G11" s="2">
        <v>449</v>
      </c>
      <c r="H11" s="2">
        <v>472</v>
      </c>
      <c r="I11" s="19">
        <v>536</v>
      </c>
      <c r="J11" s="2">
        <v>489</v>
      </c>
      <c r="K11" s="109">
        <v>494</v>
      </c>
      <c r="L11" s="109">
        <v>504</v>
      </c>
      <c r="M11" s="109">
        <v>540</v>
      </c>
    </row>
    <row r="12" spans="2:13" x14ac:dyDescent="0.25">
      <c r="B12" s="12" t="s">
        <v>42</v>
      </c>
      <c r="C12" s="8">
        <f>C11/C5*100</f>
        <v>18.339416058394161</v>
      </c>
      <c r="D12" s="8">
        <f t="shared" ref="D12:L12" si="1">D11/D5*100</f>
        <v>18.618324350808425</v>
      </c>
      <c r="E12" s="8">
        <f t="shared" si="1"/>
        <v>19.265639165911153</v>
      </c>
      <c r="F12" s="8">
        <f t="shared" si="1"/>
        <v>20.578628091460569</v>
      </c>
      <c r="G12" s="8">
        <f t="shared" si="1"/>
        <v>19.911308203991133</v>
      </c>
      <c r="H12" s="8">
        <f t="shared" si="1"/>
        <v>19.463917525773198</v>
      </c>
      <c r="I12" s="8">
        <f t="shared" si="1"/>
        <v>21.405750798722046</v>
      </c>
      <c r="J12" s="8">
        <f t="shared" si="1"/>
        <v>18.411144578313255</v>
      </c>
      <c r="K12" s="8">
        <f t="shared" si="1"/>
        <v>19.117647058823529</v>
      </c>
      <c r="L12" s="8">
        <f t="shared" si="1"/>
        <v>19.710598357450138</v>
      </c>
      <c r="M12" s="8">
        <f t="shared" ref="M12" si="2">M11/M5*100</f>
        <v>18.920812894183602</v>
      </c>
    </row>
    <row r="13" spans="2:13" x14ac:dyDescent="0.25">
      <c r="B13" s="22" t="s">
        <v>59</v>
      </c>
      <c r="C13" s="2">
        <v>13</v>
      </c>
      <c r="D13" s="2">
        <v>15</v>
      </c>
      <c r="E13" s="2">
        <v>18</v>
      </c>
      <c r="F13" s="2">
        <v>11</v>
      </c>
      <c r="G13" s="2">
        <v>14</v>
      </c>
      <c r="H13" s="2">
        <v>11</v>
      </c>
      <c r="I13" s="2">
        <v>17</v>
      </c>
      <c r="J13" s="2">
        <v>21</v>
      </c>
      <c r="K13" s="109">
        <v>27</v>
      </c>
      <c r="L13" s="109">
        <v>14</v>
      </c>
      <c r="M13" s="109">
        <v>22</v>
      </c>
    </row>
    <row r="14" spans="2:13" x14ac:dyDescent="0.25">
      <c r="B14" s="12" t="s">
        <v>60</v>
      </c>
      <c r="C14" s="8">
        <f>C13/C5*100</f>
        <v>0.59306569343065685</v>
      </c>
      <c r="D14" s="8">
        <f t="shared" ref="D14:L14" si="3">D13/D5*100</f>
        <v>0.73493385595296423</v>
      </c>
      <c r="E14" s="8">
        <f t="shared" si="3"/>
        <v>0.81595648232094287</v>
      </c>
      <c r="F14" s="8">
        <f t="shared" si="3"/>
        <v>0.5132991133924405</v>
      </c>
      <c r="G14" s="8">
        <f t="shared" si="3"/>
        <v>0.62084257206208426</v>
      </c>
      <c r="H14" s="8">
        <f t="shared" si="3"/>
        <v>0.45360824742268041</v>
      </c>
      <c r="I14" s="8">
        <f t="shared" si="3"/>
        <v>0.67891373801916932</v>
      </c>
      <c r="J14" s="8">
        <f t="shared" si="3"/>
        <v>0.79066265060240959</v>
      </c>
      <c r="K14" s="8">
        <f t="shared" si="3"/>
        <v>1.0448916408668729</v>
      </c>
      <c r="L14" s="8">
        <f t="shared" si="3"/>
        <v>0.54751662104028154</v>
      </c>
      <c r="M14" s="8">
        <f t="shared" ref="M14" si="4">M13/M5*100</f>
        <v>0.77084793272599861</v>
      </c>
    </row>
    <row r="15" spans="2:13" x14ac:dyDescent="0.25">
      <c r="B15" s="22" t="s">
        <v>61</v>
      </c>
      <c r="C15" s="2"/>
      <c r="D15" s="2"/>
      <c r="E15" s="2"/>
      <c r="F15" s="2"/>
      <c r="G15" s="2"/>
      <c r="H15" s="2"/>
      <c r="I15" s="2"/>
      <c r="J15" s="2"/>
      <c r="K15" s="118"/>
      <c r="L15" s="118"/>
      <c r="M15" s="118"/>
    </row>
    <row r="16" spans="2:13" x14ac:dyDescent="0.25">
      <c r="B16" s="11" t="s">
        <v>58</v>
      </c>
      <c r="C16" s="73">
        <v>7</v>
      </c>
      <c r="D16" s="73">
        <v>6</v>
      </c>
      <c r="E16" s="73">
        <v>9</v>
      </c>
      <c r="F16" s="73">
        <v>6</v>
      </c>
      <c r="G16" s="2">
        <v>7</v>
      </c>
      <c r="H16" s="2">
        <v>8</v>
      </c>
      <c r="I16" s="2">
        <v>5</v>
      </c>
      <c r="J16" s="2">
        <v>8</v>
      </c>
      <c r="K16" s="109">
        <v>7</v>
      </c>
      <c r="L16" s="109">
        <v>10</v>
      </c>
      <c r="M16" s="109">
        <v>5</v>
      </c>
    </row>
    <row r="17" spans="2:13" x14ac:dyDescent="0.25">
      <c r="B17" s="12" t="s">
        <v>42</v>
      </c>
      <c r="C17" s="8">
        <f>C16/C5*100</f>
        <v>0.31934306569343068</v>
      </c>
      <c r="D17" s="8">
        <f t="shared" ref="D17:L17" si="5">D16/D5*100</f>
        <v>0.29397354238118567</v>
      </c>
      <c r="E17" s="8">
        <f t="shared" si="5"/>
        <v>0.40797824116047143</v>
      </c>
      <c r="F17" s="8">
        <f t="shared" si="5"/>
        <v>0.27998133457769481</v>
      </c>
      <c r="G17" s="8">
        <f t="shared" si="5"/>
        <v>0.31042128603104213</v>
      </c>
      <c r="H17" s="8">
        <f t="shared" si="5"/>
        <v>0.32989690721649484</v>
      </c>
      <c r="I17" s="8">
        <f t="shared" si="5"/>
        <v>0.19968051118210861</v>
      </c>
      <c r="J17" s="8">
        <f t="shared" si="5"/>
        <v>0.30120481927710846</v>
      </c>
      <c r="K17" s="8">
        <f t="shared" si="5"/>
        <v>0.27089783281733748</v>
      </c>
      <c r="L17" s="8">
        <f t="shared" si="5"/>
        <v>0.3910833007430583</v>
      </c>
      <c r="M17" s="8">
        <f t="shared" ref="M17" si="6">M16/M5*100</f>
        <v>0.17519271198318148</v>
      </c>
    </row>
    <row r="18" spans="2:13" x14ac:dyDescent="0.25">
      <c r="B18" s="22" t="s">
        <v>57</v>
      </c>
      <c r="C18" s="2"/>
      <c r="D18" s="2"/>
      <c r="E18" s="2"/>
      <c r="F18" s="2"/>
      <c r="G18" s="2"/>
      <c r="H18" s="2"/>
      <c r="I18" s="2"/>
      <c r="J18" s="2"/>
      <c r="K18" s="118"/>
      <c r="L18" s="118"/>
      <c r="M18" s="118"/>
    </row>
    <row r="19" spans="2:13" x14ac:dyDescent="0.25">
      <c r="B19" s="11" t="s">
        <v>58</v>
      </c>
      <c r="C19" s="74">
        <v>22</v>
      </c>
      <c r="D19" s="74">
        <v>21</v>
      </c>
      <c r="E19" s="74">
        <v>21</v>
      </c>
      <c r="F19" s="74">
        <v>24</v>
      </c>
      <c r="G19" s="2">
        <v>24</v>
      </c>
      <c r="H19" s="2">
        <v>27</v>
      </c>
      <c r="I19" s="2">
        <v>29</v>
      </c>
      <c r="J19" s="2">
        <v>35</v>
      </c>
      <c r="K19" s="109">
        <v>33</v>
      </c>
      <c r="L19" s="109">
        <v>36</v>
      </c>
      <c r="M19" s="109">
        <v>44</v>
      </c>
    </row>
    <row r="20" spans="2:13" x14ac:dyDescent="0.25">
      <c r="B20" s="12" t="s">
        <v>42</v>
      </c>
      <c r="C20" s="8">
        <f>C19/C5*100</f>
        <v>1.0036496350364963</v>
      </c>
      <c r="D20" s="8">
        <f t="shared" ref="D20:L20" si="7">D19/D5*100</f>
        <v>1.0289073983341499</v>
      </c>
      <c r="E20" s="8">
        <f t="shared" si="7"/>
        <v>0.95194922937443338</v>
      </c>
      <c r="F20" s="8">
        <f t="shared" si="7"/>
        <v>1.1199253383107792</v>
      </c>
      <c r="G20" s="8">
        <f t="shared" si="7"/>
        <v>1.0643015521064301</v>
      </c>
      <c r="H20" s="8">
        <f t="shared" si="7"/>
        <v>1.1134020618556701</v>
      </c>
      <c r="I20" s="8">
        <f t="shared" si="7"/>
        <v>1.1581469648562299</v>
      </c>
      <c r="J20" s="8">
        <f t="shared" si="7"/>
        <v>1.3177710843373496</v>
      </c>
      <c r="K20" s="8">
        <f t="shared" si="7"/>
        <v>1.2770897832817338</v>
      </c>
      <c r="L20" s="8">
        <f t="shared" si="7"/>
        <v>1.4078998826750098</v>
      </c>
      <c r="M20" s="8">
        <f t="shared" ref="M20" si="8">M19/M5*100</f>
        <v>1.5416958654519972</v>
      </c>
    </row>
    <row r="21" spans="2:13" x14ac:dyDescent="0.25">
      <c r="B21" s="12"/>
    </row>
    <row r="22" spans="2:13" x14ac:dyDescent="0.25">
      <c r="B22" s="63" t="s">
        <v>260</v>
      </c>
    </row>
    <row r="23" spans="2:13" x14ac:dyDescent="0.25">
      <c r="B23" s="63" t="s">
        <v>363</v>
      </c>
    </row>
    <row r="24" spans="2:13" x14ac:dyDescent="0.25">
      <c r="B24" s="6"/>
    </row>
    <row r="25" spans="2:13" x14ac:dyDescent="0.25">
      <c r="B25" s="6"/>
    </row>
    <row r="26" spans="2:13" x14ac:dyDescent="0.25">
      <c r="B26" s="6"/>
    </row>
    <row r="27" spans="2:13" x14ac:dyDescent="0.25">
      <c r="B27" s="7"/>
    </row>
    <row r="30" spans="2:13" ht="18.75" x14ac:dyDescent="0.3">
      <c r="B30" s="15" t="s">
        <v>109</v>
      </c>
      <c r="C30" s="16">
        <v>2014</v>
      </c>
      <c r="D30" s="16">
        <v>2015</v>
      </c>
      <c r="E30" s="16">
        <v>2016</v>
      </c>
      <c r="F30" s="16">
        <v>2017</v>
      </c>
      <c r="G30" s="16">
        <v>2018</v>
      </c>
      <c r="H30" s="16">
        <v>2019</v>
      </c>
      <c r="I30" s="16">
        <v>2020</v>
      </c>
      <c r="J30" s="16">
        <v>2021</v>
      </c>
      <c r="K30" s="16">
        <v>2022</v>
      </c>
      <c r="L30" s="16">
        <v>2023</v>
      </c>
      <c r="M30" s="16">
        <v>2024</v>
      </c>
    </row>
    <row r="31" spans="2:13" x14ac:dyDescent="0.25">
      <c r="B31" s="22" t="s">
        <v>284</v>
      </c>
      <c r="C31" s="20">
        <v>2241</v>
      </c>
      <c r="D31" s="20">
        <v>2142</v>
      </c>
      <c r="E31" s="20">
        <v>2301</v>
      </c>
      <c r="F31" s="20">
        <v>2143</v>
      </c>
      <c r="G31" s="20">
        <v>2034</v>
      </c>
      <c r="H31" s="20">
        <v>2036</v>
      </c>
      <c r="I31" s="20">
        <v>1773</v>
      </c>
      <c r="J31" s="20">
        <v>2091</v>
      </c>
      <c r="K31" s="20">
        <v>2018</v>
      </c>
      <c r="L31" s="20">
        <v>2135</v>
      </c>
      <c r="M31" s="20">
        <v>2264</v>
      </c>
    </row>
    <row r="32" spans="2:13" x14ac:dyDescent="0.25">
      <c r="B32" s="2" t="s">
        <v>51</v>
      </c>
      <c r="C32" s="23"/>
      <c r="D32" s="23"/>
      <c r="E32" s="23"/>
      <c r="F32" s="23"/>
      <c r="G32" s="2"/>
      <c r="H32" s="2"/>
      <c r="I32" s="2"/>
      <c r="J32" s="2"/>
      <c r="K32" s="2"/>
      <c r="L32" s="2"/>
      <c r="M32" s="2"/>
    </row>
    <row r="33" spans="2:13" x14ac:dyDescent="0.25">
      <c r="B33" s="22" t="s">
        <v>55</v>
      </c>
      <c r="C33" s="23"/>
      <c r="D33" s="23"/>
      <c r="E33" s="23"/>
      <c r="F33" s="23"/>
      <c r="G33" s="2"/>
      <c r="H33" s="2"/>
      <c r="I33" s="2"/>
      <c r="J33" s="2"/>
      <c r="K33" s="2"/>
      <c r="L33" s="2"/>
      <c r="M33" s="2"/>
    </row>
    <row r="34" spans="2:13" x14ac:dyDescent="0.25">
      <c r="B34" s="11" t="s">
        <v>58</v>
      </c>
      <c r="C34" s="23">
        <v>161</v>
      </c>
      <c r="D34" s="23">
        <v>143</v>
      </c>
      <c r="E34" s="23">
        <v>157</v>
      </c>
      <c r="F34" s="23">
        <v>160</v>
      </c>
      <c r="G34" s="2">
        <v>144</v>
      </c>
      <c r="H34" s="2">
        <v>143</v>
      </c>
      <c r="I34" s="2">
        <v>129</v>
      </c>
      <c r="J34" s="2">
        <v>162</v>
      </c>
      <c r="K34" s="2">
        <v>128</v>
      </c>
      <c r="L34" s="2">
        <v>137</v>
      </c>
      <c r="M34" s="2">
        <v>162</v>
      </c>
    </row>
    <row r="35" spans="2:13" x14ac:dyDescent="0.25">
      <c r="B35" s="12" t="s">
        <v>42</v>
      </c>
      <c r="C35" s="8">
        <f t="shared" ref="C35:H35" si="9">C34/C31*100</f>
        <v>7.1842927264614014</v>
      </c>
      <c r="D35" s="8">
        <f t="shared" si="9"/>
        <v>6.6760037348272645</v>
      </c>
      <c r="E35" s="8">
        <f t="shared" si="9"/>
        <v>6.8231203824424158</v>
      </c>
      <c r="F35" s="8">
        <f t="shared" si="9"/>
        <v>7.4661689220718612</v>
      </c>
      <c r="G35" s="8">
        <f t="shared" si="9"/>
        <v>7.0796460176991154</v>
      </c>
      <c r="H35" s="8">
        <f t="shared" si="9"/>
        <v>7.0235756385068768</v>
      </c>
      <c r="I35" s="8">
        <f t="shared" ref="I35:J35" si="10">I34/I31*100</f>
        <v>7.2758037225042305</v>
      </c>
      <c r="J35" s="8">
        <f t="shared" si="10"/>
        <v>7.747489239598278</v>
      </c>
      <c r="K35" s="8">
        <f t="shared" ref="K35:L35" si="11">K34/K31*100</f>
        <v>6.3429137760158572</v>
      </c>
      <c r="L35" s="8">
        <f t="shared" si="11"/>
        <v>6.4168618266978923</v>
      </c>
      <c r="M35" s="8">
        <f t="shared" ref="M35" si="12">M34/M31*100</f>
        <v>7.1554770318021195</v>
      </c>
    </row>
    <row r="36" spans="2:13" x14ac:dyDescent="0.25">
      <c r="B36" s="22" t="s">
        <v>56</v>
      </c>
      <c r="C36" s="23"/>
      <c r="D36" s="23"/>
      <c r="E36" s="23"/>
      <c r="F36" s="23"/>
      <c r="G36" s="2"/>
      <c r="H36" s="2"/>
      <c r="I36" s="2"/>
      <c r="J36" s="2"/>
      <c r="K36" s="2"/>
      <c r="L36" s="2"/>
      <c r="M36" s="2"/>
    </row>
    <row r="37" spans="2:13" x14ac:dyDescent="0.25">
      <c r="B37" s="11" t="s">
        <v>58</v>
      </c>
      <c r="C37" s="23">
        <v>260</v>
      </c>
      <c r="D37" s="23">
        <v>245</v>
      </c>
      <c r="E37" s="23">
        <v>311</v>
      </c>
      <c r="F37" s="23">
        <v>327</v>
      </c>
      <c r="G37" s="2">
        <v>261</v>
      </c>
      <c r="H37" s="2">
        <v>284</v>
      </c>
      <c r="I37" s="2">
        <v>264</v>
      </c>
      <c r="J37" s="2">
        <v>287</v>
      </c>
      <c r="K37" s="2">
        <v>252</v>
      </c>
      <c r="L37" s="2">
        <v>302</v>
      </c>
      <c r="M37" s="2">
        <v>369</v>
      </c>
    </row>
    <row r="38" spans="2:13" x14ac:dyDescent="0.25">
      <c r="B38" s="12" t="s">
        <v>42</v>
      </c>
      <c r="C38" s="8">
        <f t="shared" ref="C38:H38" si="13">C37/C31*100</f>
        <v>11.601963409192324</v>
      </c>
      <c r="D38" s="8">
        <f t="shared" si="13"/>
        <v>11.437908496732026</v>
      </c>
      <c r="E38" s="8">
        <f t="shared" si="13"/>
        <v>13.51586266840504</v>
      </c>
      <c r="F38" s="8">
        <f t="shared" si="13"/>
        <v>15.258982734484366</v>
      </c>
      <c r="G38" s="8">
        <f t="shared" si="13"/>
        <v>12.831858407079647</v>
      </c>
      <c r="H38" s="8">
        <f t="shared" si="13"/>
        <v>13.948919449901767</v>
      </c>
      <c r="I38" s="8">
        <f t="shared" ref="I38:J38" si="14">I37/I31*100</f>
        <v>14.890016920473773</v>
      </c>
      <c r="J38" s="8">
        <f t="shared" si="14"/>
        <v>13.725490196078432</v>
      </c>
      <c r="K38" s="8">
        <f t="shared" ref="K38:L38" si="15">K37/K31*100</f>
        <v>12.487611496531219</v>
      </c>
      <c r="L38" s="8">
        <f t="shared" si="15"/>
        <v>14.14519906323185</v>
      </c>
      <c r="M38" s="8">
        <f t="shared" ref="M38" si="16">M37/M31*100</f>
        <v>16.298586572438161</v>
      </c>
    </row>
    <row r="39" spans="2:13" x14ac:dyDescent="0.25">
      <c r="B39" s="22" t="s">
        <v>59</v>
      </c>
      <c r="C39" s="23">
        <v>9</v>
      </c>
      <c r="D39" s="23">
        <v>6</v>
      </c>
      <c r="E39" s="23">
        <v>17</v>
      </c>
      <c r="F39" s="23">
        <v>15</v>
      </c>
      <c r="G39" s="2">
        <v>12</v>
      </c>
      <c r="H39" s="2">
        <v>13</v>
      </c>
      <c r="I39" s="2">
        <v>16</v>
      </c>
      <c r="J39" s="2">
        <v>25</v>
      </c>
      <c r="K39" s="2">
        <v>16</v>
      </c>
      <c r="L39" s="2">
        <v>25</v>
      </c>
      <c r="M39" s="2">
        <v>18</v>
      </c>
    </row>
    <row r="40" spans="2:13" x14ac:dyDescent="0.25">
      <c r="B40" s="12" t="s">
        <v>60</v>
      </c>
      <c r="C40" s="8">
        <f t="shared" ref="C40:H40" si="17">C39/C31*100</f>
        <v>0.40160642570281119</v>
      </c>
      <c r="D40" s="8">
        <f t="shared" si="17"/>
        <v>0.28011204481792717</v>
      </c>
      <c r="E40" s="8">
        <f t="shared" si="17"/>
        <v>0.73880921338548455</v>
      </c>
      <c r="F40" s="8">
        <f t="shared" si="17"/>
        <v>0.69995333644423707</v>
      </c>
      <c r="G40" s="8">
        <f t="shared" si="17"/>
        <v>0.58997050147492625</v>
      </c>
      <c r="H40" s="8">
        <f t="shared" si="17"/>
        <v>0.63850687622789781</v>
      </c>
      <c r="I40" s="8">
        <f t="shared" ref="I40:J40" si="18">I39/I31*100</f>
        <v>0.90242526790750155</v>
      </c>
      <c r="J40" s="8">
        <f t="shared" si="18"/>
        <v>1.1956001912960306</v>
      </c>
      <c r="K40" s="8">
        <f t="shared" ref="K40:L40" si="19">K39/K31*100</f>
        <v>0.79286422200198214</v>
      </c>
      <c r="L40" s="8">
        <f t="shared" si="19"/>
        <v>1.1709601873536302</v>
      </c>
      <c r="M40" s="8">
        <f t="shared" ref="M40" si="20">M39/M31*100</f>
        <v>0.79505300353356878</v>
      </c>
    </row>
    <row r="41" spans="2:13" x14ac:dyDescent="0.25">
      <c r="B41" s="22" t="s">
        <v>61</v>
      </c>
      <c r="C41" s="23"/>
      <c r="D41" s="23"/>
      <c r="E41" s="23"/>
      <c r="F41" s="23"/>
      <c r="G41" s="2"/>
      <c r="H41" s="2"/>
      <c r="I41" s="2"/>
      <c r="J41" s="2"/>
      <c r="K41" s="2"/>
      <c r="L41" s="2"/>
      <c r="M41" s="2"/>
    </row>
    <row r="42" spans="2:13" x14ac:dyDescent="0.25">
      <c r="B42" s="11" t="s">
        <v>58</v>
      </c>
      <c r="C42" s="23">
        <v>1</v>
      </c>
      <c r="D42" s="23">
        <v>1</v>
      </c>
      <c r="E42" s="23">
        <v>3</v>
      </c>
      <c r="F42" s="23">
        <v>4</v>
      </c>
      <c r="G42" s="2">
        <v>2</v>
      </c>
      <c r="H42" s="2">
        <v>2</v>
      </c>
      <c r="I42" s="2">
        <v>1</v>
      </c>
      <c r="J42" s="2">
        <v>5</v>
      </c>
      <c r="K42" s="2">
        <v>2</v>
      </c>
      <c r="L42" s="2">
        <v>5</v>
      </c>
      <c r="M42" s="2">
        <v>5</v>
      </c>
    </row>
    <row r="43" spans="2:13" x14ac:dyDescent="0.25">
      <c r="B43" s="12" t="s">
        <v>42</v>
      </c>
      <c r="C43" s="8">
        <f t="shared" ref="C43:H43" si="21">C42/C31*100</f>
        <v>4.4622936189201247E-2</v>
      </c>
      <c r="D43" s="8">
        <f t="shared" si="21"/>
        <v>4.6685340802987862E-2</v>
      </c>
      <c r="E43" s="8">
        <f t="shared" si="21"/>
        <v>0.1303780964797914</v>
      </c>
      <c r="F43" s="8">
        <f t="shared" si="21"/>
        <v>0.18665422305179655</v>
      </c>
      <c r="G43" s="8">
        <f t="shared" si="21"/>
        <v>9.8328416912487712E-2</v>
      </c>
      <c r="H43" s="8">
        <f t="shared" si="21"/>
        <v>9.8231827111984277E-2</v>
      </c>
      <c r="I43" s="8">
        <f t="shared" ref="I43:J43" si="22">I42/I31*100</f>
        <v>5.6401579244218847E-2</v>
      </c>
      <c r="J43" s="8">
        <f t="shared" si="22"/>
        <v>0.23912003825920614</v>
      </c>
      <c r="K43" s="8">
        <f t="shared" ref="K43:L43" si="23">K42/K31*100</f>
        <v>9.9108027750247768E-2</v>
      </c>
      <c r="L43" s="8">
        <f t="shared" si="23"/>
        <v>0.23419203747072601</v>
      </c>
      <c r="M43" s="8">
        <f t="shared" ref="M43" si="24">M42/M31*100</f>
        <v>0.22084805653710249</v>
      </c>
    </row>
    <row r="44" spans="2:13" x14ac:dyDescent="0.25">
      <c r="B44" s="22" t="s">
        <v>57</v>
      </c>
      <c r="C44" s="23"/>
      <c r="D44" s="23"/>
      <c r="E44" s="23"/>
      <c r="F44" s="23"/>
      <c r="G44" s="2"/>
      <c r="H44" s="2"/>
      <c r="I44" s="2"/>
      <c r="J44" s="2"/>
      <c r="K44" s="2"/>
      <c r="L44" s="2"/>
      <c r="M44" s="2"/>
    </row>
    <row r="45" spans="2:13" x14ac:dyDescent="0.25">
      <c r="B45" s="11" t="s">
        <v>58</v>
      </c>
      <c r="C45" s="23">
        <v>202</v>
      </c>
      <c r="D45" s="23">
        <v>197</v>
      </c>
      <c r="E45" s="23">
        <v>197</v>
      </c>
      <c r="F45" s="23">
        <v>190</v>
      </c>
      <c r="G45" s="2">
        <v>184</v>
      </c>
      <c r="H45" s="2">
        <v>178</v>
      </c>
      <c r="I45" s="2">
        <v>169</v>
      </c>
      <c r="J45" s="2">
        <v>180</v>
      </c>
      <c r="K45" s="2">
        <v>185</v>
      </c>
      <c r="L45" s="2">
        <v>192</v>
      </c>
      <c r="M45" s="2">
        <v>179</v>
      </c>
    </row>
    <row r="46" spans="2:13" x14ac:dyDescent="0.25">
      <c r="B46" s="12" t="s">
        <v>42</v>
      </c>
      <c r="C46" s="8">
        <f t="shared" ref="C46:H46" si="25">C45/C31*100</f>
        <v>9.013833110218652</v>
      </c>
      <c r="D46" s="8">
        <f t="shared" si="25"/>
        <v>9.1970121381886099</v>
      </c>
      <c r="E46" s="8">
        <f t="shared" si="25"/>
        <v>8.5614950021729683</v>
      </c>
      <c r="F46" s="8">
        <f t="shared" si="25"/>
        <v>8.8660755949603356</v>
      </c>
      <c r="G46" s="8">
        <f t="shared" si="25"/>
        <v>9.0462143559488695</v>
      </c>
      <c r="H46" s="8">
        <f t="shared" si="25"/>
        <v>8.7426326129666005</v>
      </c>
      <c r="I46" s="8">
        <f t="shared" ref="I46:J46" si="26">I45/I31*100</f>
        <v>9.5318668922729834</v>
      </c>
      <c r="J46" s="8">
        <f t="shared" si="26"/>
        <v>8.6083213773314213</v>
      </c>
      <c r="K46" s="8">
        <f t="shared" ref="K46:L46" si="27">K45/K31*100</f>
        <v>9.1674925668979181</v>
      </c>
      <c r="L46" s="8">
        <f t="shared" si="27"/>
        <v>8.9929742388758775</v>
      </c>
      <c r="M46" s="8">
        <f t="shared" ref="M46" si="28">M45/M31*100</f>
        <v>7.9063604240282697</v>
      </c>
    </row>
    <row r="47" spans="2:13" x14ac:dyDescent="0.25">
      <c r="B47" s="12"/>
    </row>
    <row r="48" spans="2:13" x14ac:dyDescent="0.25">
      <c r="B48" s="63" t="s">
        <v>290</v>
      </c>
    </row>
    <row r="49" spans="2:14" x14ac:dyDescent="0.25">
      <c r="B49" s="6"/>
    </row>
    <row r="50" spans="2:14" x14ac:dyDescent="0.25">
      <c r="B50" s="6"/>
    </row>
    <row r="51" spans="2:14" x14ac:dyDescent="0.25">
      <c r="B51" s="6"/>
    </row>
    <row r="52" spans="2:14" x14ac:dyDescent="0.25">
      <c r="B52" s="6"/>
    </row>
    <row r="53" spans="2:14" x14ac:dyDescent="0.25">
      <c r="B53" s="7"/>
    </row>
    <row r="56" spans="2:14" ht="18.75" x14ac:dyDescent="0.3">
      <c r="B56" s="15" t="s">
        <v>110</v>
      </c>
      <c r="C56" s="16">
        <v>2014</v>
      </c>
      <c r="D56" s="16">
        <v>2015</v>
      </c>
      <c r="E56" s="16">
        <v>2016</v>
      </c>
      <c r="F56" s="16">
        <v>2017</v>
      </c>
      <c r="G56" s="16">
        <v>2018</v>
      </c>
      <c r="H56" s="16">
        <v>2019</v>
      </c>
      <c r="I56" s="16">
        <v>2020</v>
      </c>
      <c r="J56" s="16">
        <v>2021</v>
      </c>
      <c r="K56" s="16">
        <v>2022</v>
      </c>
      <c r="L56" s="16">
        <v>2023</v>
      </c>
      <c r="M56" s="16">
        <v>2024</v>
      </c>
    </row>
    <row r="57" spans="2:14" x14ac:dyDescent="0.25">
      <c r="B57" s="22" t="s">
        <v>284</v>
      </c>
      <c r="C57" s="69">
        <v>169</v>
      </c>
      <c r="D57" s="69">
        <v>149</v>
      </c>
      <c r="E57" s="69">
        <v>123</v>
      </c>
      <c r="F57" s="69">
        <v>132</v>
      </c>
      <c r="G57" s="2">
        <v>130</v>
      </c>
      <c r="H57" s="2">
        <v>147</v>
      </c>
      <c r="I57" s="2">
        <v>109</v>
      </c>
      <c r="J57" s="2">
        <v>143</v>
      </c>
      <c r="K57" s="2">
        <v>137</v>
      </c>
      <c r="L57" s="2">
        <v>130</v>
      </c>
      <c r="M57" s="2">
        <v>105</v>
      </c>
      <c r="N57" s="123"/>
    </row>
    <row r="58" spans="2:14" x14ac:dyDescent="0.25">
      <c r="B58" s="2" t="s">
        <v>51</v>
      </c>
      <c r="C58" s="69"/>
      <c r="D58" s="69"/>
      <c r="E58" s="69"/>
      <c r="F58" s="69"/>
      <c r="G58" s="2"/>
      <c r="H58" s="2"/>
      <c r="I58" s="2"/>
      <c r="J58" s="2"/>
      <c r="K58" s="2"/>
      <c r="L58" s="2"/>
      <c r="M58" s="2"/>
    </row>
    <row r="59" spans="2:14" x14ac:dyDescent="0.25">
      <c r="B59" s="22" t="s">
        <v>55</v>
      </c>
      <c r="C59" s="69"/>
      <c r="D59" s="69"/>
      <c r="E59" s="69"/>
      <c r="F59" s="69"/>
      <c r="G59" s="2"/>
      <c r="H59" s="2"/>
      <c r="I59" s="2"/>
      <c r="J59" s="2"/>
      <c r="K59" s="2"/>
      <c r="L59" s="2"/>
      <c r="M59" s="2"/>
    </row>
    <row r="60" spans="2:14" x14ac:dyDescent="0.25">
      <c r="B60" s="11" t="s">
        <v>58</v>
      </c>
      <c r="C60" s="69">
        <v>9</v>
      </c>
      <c r="D60" s="69">
        <v>2</v>
      </c>
      <c r="E60" s="69">
        <v>6</v>
      </c>
      <c r="F60" s="69">
        <v>9</v>
      </c>
      <c r="G60" s="2">
        <v>5</v>
      </c>
      <c r="H60" s="2">
        <v>11</v>
      </c>
      <c r="I60" s="2">
        <v>7</v>
      </c>
      <c r="J60" s="2">
        <v>10</v>
      </c>
      <c r="K60" s="2">
        <v>11</v>
      </c>
      <c r="L60" s="2">
        <v>15</v>
      </c>
      <c r="M60" s="2">
        <v>4</v>
      </c>
    </row>
    <row r="61" spans="2:14" x14ac:dyDescent="0.25">
      <c r="B61" s="12" t="s">
        <v>42</v>
      </c>
      <c r="C61" s="80">
        <f t="shared" ref="C61:H61" si="29">C60/C57*100</f>
        <v>5.3254437869822491</v>
      </c>
      <c r="D61" s="80">
        <f t="shared" si="29"/>
        <v>1.3422818791946309</v>
      </c>
      <c r="E61" s="80">
        <f t="shared" si="29"/>
        <v>4.8780487804878048</v>
      </c>
      <c r="F61" s="80">
        <f t="shared" si="29"/>
        <v>6.8181818181818175</v>
      </c>
      <c r="G61" s="80">
        <f t="shared" si="29"/>
        <v>3.8461538461538463</v>
      </c>
      <c r="H61" s="80">
        <f t="shared" si="29"/>
        <v>7.4829931972789119</v>
      </c>
      <c r="I61" s="80">
        <f t="shared" ref="I61:J61" si="30">I60/I57*100</f>
        <v>6.4220183486238538</v>
      </c>
      <c r="J61" s="80">
        <f t="shared" si="30"/>
        <v>6.9930069930069934</v>
      </c>
      <c r="K61" s="80">
        <f t="shared" ref="K61:M61" si="31">K60/K57*100</f>
        <v>8.0291970802919703</v>
      </c>
      <c r="L61" s="80">
        <f t="shared" si="31"/>
        <v>11.538461538461538</v>
      </c>
      <c r="M61" s="80">
        <f t="shared" si="31"/>
        <v>3.8095238095238098</v>
      </c>
    </row>
    <row r="62" spans="2:14" x14ac:dyDescent="0.25">
      <c r="B62" s="22" t="s">
        <v>56</v>
      </c>
      <c r="C62" s="69"/>
      <c r="D62" s="69"/>
      <c r="E62" s="69"/>
      <c r="F62" s="69"/>
      <c r="G62" s="2"/>
      <c r="H62" s="2"/>
      <c r="I62" s="2"/>
      <c r="J62" s="2"/>
      <c r="K62" s="2"/>
      <c r="L62" s="2"/>
      <c r="M62" s="2"/>
    </row>
    <row r="63" spans="2:14" x14ac:dyDescent="0.25">
      <c r="B63" s="11" t="s">
        <v>58</v>
      </c>
      <c r="C63" s="69">
        <v>21</v>
      </c>
      <c r="D63" s="69">
        <v>20</v>
      </c>
      <c r="E63" s="69">
        <v>15</v>
      </c>
      <c r="F63" s="69">
        <v>23</v>
      </c>
      <c r="G63" s="2">
        <v>29</v>
      </c>
      <c r="H63" s="2">
        <v>28</v>
      </c>
      <c r="I63" s="2">
        <v>19</v>
      </c>
      <c r="J63" s="2">
        <v>25</v>
      </c>
      <c r="K63" s="2">
        <v>35</v>
      </c>
      <c r="L63" s="2">
        <v>40</v>
      </c>
      <c r="M63" s="2">
        <v>35</v>
      </c>
    </row>
    <row r="64" spans="2:14" x14ac:dyDescent="0.25">
      <c r="B64" s="12" t="s">
        <v>42</v>
      </c>
      <c r="C64" s="80">
        <f t="shared" ref="C64:H64" si="32">C63/C57*100</f>
        <v>12.42603550295858</v>
      </c>
      <c r="D64" s="80">
        <f t="shared" si="32"/>
        <v>13.422818791946309</v>
      </c>
      <c r="E64" s="80">
        <f t="shared" si="32"/>
        <v>12.195121951219512</v>
      </c>
      <c r="F64" s="80">
        <f t="shared" si="32"/>
        <v>17.424242424242426</v>
      </c>
      <c r="G64" s="80">
        <f t="shared" si="32"/>
        <v>22.30769230769231</v>
      </c>
      <c r="H64" s="80">
        <f t="shared" si="32"/>
        <v>19.047619047619047</v>
      </c>
      <c r="I64" s="80">
        <f t="shared" ref="I64:J64" si="33">I63/I57*100</f>
        <v>17.431192660550458</v>
      </c>
      <c r="J64" s="80">
        <f t="shared" si="33"/>
        <v>17.482517482517483</v>
      </c>
      <c r="K64" s="80">
        <f t="shared" ref="K64:M64" si="34">K63/K57*100</f>
        <v>25.547445255474454</v>
      </c>
      <c r="L64" s="80">
        <f t="shared" si="34"/>
        <v>30.76923076923077</v>
      </c>
      <c r="M64" s="80">
        <f t="shared" si="34"/>
        <v>33.333333333333329</v>
      </c>
      <c r="N64" s="123"/>
    </row>
    <row r="65" spans="2:13" x14ac:dyDescent="0.25">
      <c r="B65" s="22" t="s">
        <v>59</v>
      </c>
      <c r="C65" s="69">
        <v>0</v>
      </c>
      <c r="D65" s="69">
        <v>1</v>
      </c>
      <c r="E65" s="69">
        <v>0</v>
      </c>
      <c r="F65" s="69">
        <v>0</v>
      </c>
      <c r="G65" s="2">
        <v>0</v>
      </c>
      <c r="H65" s="2">
        <v>2</v>
      </c>
      <c r="I65" s="2">
        <v>0</v>
      </c>
      <c r="J65" s="2">
        <v>0</v>
      </c>
      <c r="K65" s="2">
        <v>0</v>
      </c>
      <c r="L65" s="2">
        <v>0</v>
      </c>
      <c r="M65" s="2">
        <v>1</v>
      </c>
    </row>
    <row r="66" spans="2:13" x14ac:dyDescent="0.25">
      <c r="B66" s="12" t="s">
        <v>60</v>
      </c>
      <c r="C66" s="80">
        <f t="shared" ref="C66:H66" si="35">C65/C57*100</f>
        <v>0</v>
      </c>
      <c r="D66" s="80">
        <f t="shared" si="35"/>
        <v>0.67114093959731547</v>
      </c>
      <c r="E66" s="80">
        <f t="shared" si="35"/>
        <v>0</v>
      </c>
      <c r="F66" s="80">
        <f t="shared" si="35"/>
        <v>0</v>
      </c>
      <c r="G66" s="80">
        <f t="shared" si="35"/>
        <v>0</v>
      </c>
      <c r="H66" s="80">
        <f t="shared" si="35"/>
        <v>1.3605442176870748</v>
      </c>
      <c r="I66" s="80">
        <f t="shared" ref="I66:J66" si="36">I65/I57*100</f>
        <v>0</v>
      </c>
      <c r="J66" s="80">
        <f t="shared" si="36"/>
        <v>0</v>
      </c>
      <c r="K66" s="80">
        <f t="shared" ref="K66:M66" si="37">K65/K57*100</f>
        <v>0</v>
      </c>
      <c r="L66" s="80">
        <f t="shared" si="37"/>
        <v>0</v>
      </c>
      <c r="M66" s="80">
        <f t="shared" si="37"/>
        <v>0.95238095238095244</v>
      </c>
    </row>
    <row r="67" spans="2:13" x14ac:dyDescent="0.25">
      <c r="B67" s="22" t="s">
        <v>61</v>
      </c>
      <c r="C67" s="69"/>
      <c r="D67" s="69"/>
      <c r="E67" s="69"/>
      <c r="F67" s="69"/>
      <c r="G67" s="2"/>
      <c r="H67" s="2"/>
      <c r="I67" s="2"/>
      <c r="J67" s="2"/>
      <c r="K67" s="2"/>
      <c r="L67" s="2"/>
      <c r="M67" s="2"/>
    </row>
    <row r="68" spans="2:13" x14ac:dyDescent="0.25">
      <c r="B68" s="11" t="s">
        <v>58</v>
      </c>
      <c r="C68" s="69">
        <v>0</v>
      </c>
      <c r="D68" s="69">
        <v>0</v>
      </c>
      <c r="E68" s="69">
        <v>0</v>
      </c>
      <c r="F68" s="69">
        <v>0</v>
      </c>
      <c r="G68" s="2">
        <v>0</v>
      </c>
      <c r="H68" s="2">
        <v>0</v>
      </c>
      <c r="I68" s="2">
        <v>0</v>
      </c>
      <c r="J68" s="2">
        <v>0</v>
      </c>
      <c r="K68" s="2">
        <v>0</v>
      </c>
      <c r="L68" s="2">
        <v>0</v>
      </c>
      <c r="M68" s="2">
        <v>0</v>
      </c>
    </row>
    <row r="69" spans="2:13" x14ac:dyDescent="0.25">
      <c r="B69" s="12" t="s">
        <v>42</v>
      </c>
      <c r="C69" s="80">
        <f t="shared" ref="C69:H69" si="38">C68/C57*100</f>
        <v>0</v>
      </c>
      <c r="D69" s="80">
        <f t="shared" si="38"/>
        <v>0</v>
      </c>
      <c r="E69" s="80">
        <f t="shared" si="38"/>
        <v>0</v>
      </c>
      <c r="F69" s="80">
        <f t="shared" si="38"/>
        <v>0</v>
      </c>
      <c r="G69" s="80">
        <f t="shared" si="38"/>
        <v>0</v>
      </c>
      <c r="H69" s="80">
        <f t="shared" si="38"/>
        <v>0</v>
      </c>
      <c r="I69" s="80">
        <f t="shared" ref="I69:J69" si="39">I68/I57*100</f>
        <v>0</v>
      </c>
      <c r="J69" s="80">
        <f t="shared" si="39"/>
        <v>0</v>
      </c>
      <c r="K69" s="80">
        <f t="shared" ref="K69:M69" si="40">K68/K57*100</f>
        <v>0</v>
      </c>
      <c r="L69" s="80">
        <f t="shared" si="40"/>
        <v>0</v>
      </c>
      <c r="M69" s="80">
        <f t="shared" si="40"/>
        <v>0</v>
      </c>
    </row>
    <row r="70" spans="2:13" x14ac:dyDescent="0.25">
      <c r="B70" s="22" t="s">
        <v>57</v>
      </c>
      <c r="C70" s="69"/>
      <c r="D70" s="69"/>
      <c r="E70" s="69"/>
      <c r="F70" s="69"/>
      <c r="G70" s="2"/>
      <c r="H70" s="2"/>
      <c r="I70" s="2"/>
      <c r="J70" s="2"/>
      <c r="K70" s="2"/>
      <c r="L70" s="2"/>
      <c r="M70" s="2"/>
    </row>
    <row r="71" spans="2:13" x14ac:dyDescent="0.25">
      <c r="B71" s="11" t="s">
        <v>58</v>
      </c>
      <c r="C71" s="69">
        <v>0</v>
      </c>
      <c r="D71" s="69">
        <v>0</v>
      </c>
      <c r="E71" s="69">
        <v>0</v>
      </c>
      <c r="F71" s="69">
        <v>0</v>
      </c>
      <c r="G71" s="2">
        <v>0</v>
      </c>
      <c r="H71" s="2">
        <v>0</v>
      </c>
      <c r="I71" s="2">
        <v>0</v>
      </c>
      <c r="J71" s="2">
        <v>0</v>
      </c>
      <c r="K71" s="2">
        <v>0</v>
      </c>
      <c r="L71" s="2">
        <v>0</v>
      </c>
      <c r="M71" s="2">
        <v>0</v>
      </c>
    </row>
    <row r="72" spans="2:13" x14ac:dyDescent="0.25">
      <c r="B72" s="12" t="s">
        <v>42</v>
      </c>
      <c r="C72" s="80">
        <f t="shared" ref="C72:H72" si="41">C71/C57*100</f>
        <v>0</v>
      </c>
      <c r="D72" s="80">
        <f t="shared" si="41"/>
        <v>0</v>
      </c>
      <c r="E72" s="80">
        <f t="shared" si="41"/>
        <v>0</v>
      </c>
      <c r="F72" s="80">
        <f t="shared" si="41"/>
        <v>0</v>
      </c>
      <c r="G72" s="80">
        <f t="shared" si="41"/>
        <v>0</v>
      </c>
      <c r="H72" s="80">
        <f t="shared" si="41"/>
        <v>0</v>
      </c>
      <c r="I72" s="80">
        <f t="shared" ref="I72:J72" si="42">I71/I57*100</f>
        <v>0</v>
      </c>
      <c r="J72" s="80">
        <f t="shared" si="42"/>
        <v>0</v>
      </c>
      <c r="K72" s="80">
        <f t="shared" ref="K72:M72" si="43">K71/K57*100</f>
        <v>0</v>
      </c>
      <c r="L72" s="80">
        <f t="shared" si="43"/>
        <v>0</v>
      </c>
      <c r="M72" s="80">
        <f t="shared" si="43"/>
        <v>0</v>
      </c>
    </row>
    <row r="73" spans="2:13" x14ac:dyDescent="0.25">
      <c r="B73" s="12"/>
    </row>
    <row r="74" spans="2:13" x14ac:dyDescent="0.25">
      <c r="B74" s="63" t="s">
        <v>290</v>
      </c>
    </row>
    <row r="75" spans="2:13" x14ac:dyDescent="0.25">
      <c r="B75" s="6"/>
    </row>
    <row r="76" spans="2:13" x14ac:dyDescent="0.25">
      <c r="B76" s="6"/>
    </row>
    <row r="77" spans="2:13" x14ac:dyDescent="0.25">
      <c r="B77" s="6"/>
    </row>
    <row r="78" spans="2:13" x14ac:dyDescent="0.25">
      <c r="B78" s="6"/>
    </row>
    <row r="79" spans="2:13" x14ac:dyDescent="0.25">
      <c r="B79" s="7"/>
    </row>
    <row r="82" spans="2:13" ht="18.75" x14ac:dyDescent="0.3">
      <c r="B82" s="15" t="s">
        <v>111</v>
      </c>
      <c r="C82" s="16">
        <v>2014</v>
      </c>
      <c r="D82" s="16">
        <v>2015</v>
      </c>
      <c r="E82" s="16">
        <v>2016</v>
      </c>
      <c r="F82" s="16">
        <v>2017</v>
      </c>
      <c r="G82" s="16">
        <v>2018</v>
      </c>
      <c r="H82" s="16">
        <v>2019</v>
      </c>
      <c r="I82" s="16">
        <v>2020</v>
      </c>
      <c r="J82" s="16">
        <v>2021</v>
      </c>
      <c r="K82" s="101">
        <v>2022</v>
      </c>
      <c r="L82" s="16">
        <v>2023</v>
      </c>
      <c r="M82" s="16">
        <v>2024</v>
      </c>
    </row>
    <row r="83" spans="2:13" x14ac:dyDescent="0.25">
      <c r="B83" s="22" t="s">
        <v>284</v>
      </c>
      <c r="C83" s="10">
        <v>2677</v>
      </c>
      <c r="D83" s="10">
        <v>2791</v>
      </c>
      <c r="E83" s="10">
        <v>2951</v>
      </c>
      <c r="F83" s="10">
        <f>2482+149+102+3</f>
        <v>2736</v>
      </c>
      <c r="G83" s="10">
        <v>2640</v>
      </c>
      <c r="H83" s="10">
        <v>2504</v>
      </c>
      <c r="I83" s="10">
        <v>2396</v>
      </c>
      <c r="J83" s="10">
        <v>2704</v>
      </c>
      <c r="K83" s="10">
        <v>2616</v>
      </c>
      <c r="L83" s="10">
        <v>2210</v>
      </c>
      <c r="M83" s="10">
        <v>2250</v>
      </c>
    </row>
    <row r="84" spans="2:13" x14ac:dyDescent="0.25">
      <c r="B84" s="2" t="s">
        <v>51</v>
      </c>
      <c r="C84" s="2"/>
      <c r="D84" s="2"/>
      <c r="E84" s="2"/>
      <c r="F84" s="2"/>
      <c r="G84" s="2"/>
      <c r="H84" s="2"/>
      <c r="I84" s="2"/>
      <c r="J84" s="2"/>
      <c r="K84" s="2"/>
      <c r="L84" s="2"/>
      <c r="M84" s="2"/>
    </row>
    <row r="85" spans="2:13" x14ac:dyDescent="0.25">
      <c r="B85" s="22" t="s">
        <v>55</v>
      </c>
      <c r="C85" s="2"/>
      <c r="D85" s="2"/>
      <c r="E85" s="2"/>
      <c r="F85" s="2"/>
      <c r="G85" s="2"/>
      <c r="H85" s="2"/>
      <c r="I85" s="2"/>
      <c r="J85" s="2"/>
      <c r="K85" s="2"/>
      <c r="L85" s="2"/>
      <c r="M85" s="2"/>
    </row>
    <row r="86" spans="2:13" x14ac:dyDescent="0.25">
      <c r="B86" s="11" t="s">
        <v>58</v>
      </c>
      <c r="C86" s="74">
        <v>137</v>
      </c>
      <c r="D86" s="74">
        <v>140</v>
      </c>
      <c r="E86" s="74">
        <v>187</v>
      </c>
      <c r="F86" s="74">
        <v>152</v>
      </c>
      <c r="G86" s="2">
        <v>152</v>
      </c>
      <c r="H86" s="2">
        <v>170</v>
      </c>
      <c r="I86" s="2">
        <v>139</v>
      </c>
      <c r="J86" s="2">
        <v>152</v>
      </c>
      <c r="K86" s="19">
        <v>153</v>
      </c>
      <c r="L86" s="2">
        <v>128</v>
      </c>
      <c r="M86" s="2">
        <v>90</v>
      </c>
    </row>
    <row r="87" spans="2:13" x14ac:dyDescent="0.25">
      <c r="B87" s="12" t="s">
        <v>42</v>
      </c>
      <c r="C87" s="8">
        <f t="shared" ref="C87:H87" si="44">C86/C83*100</f>
        <v>5.1176690324990659</v>
      </c>
      <c r="D87" s="8">
        <f t="shared" si="44"/>
        <v>5.0161232533142242</v>
      </c>
      <c r="E87" s="8">
        <f t="shared" si="44"/>
        <v>6.3368349711962049</v>
      </c>
      <c r="F87" s="8">
        <f t="shared" si="44"/>
        <v>5.5555555555555554</v>
      </c>
      <c r="G87" s="8">
        <f t="shared" si="44"/>
        <v>5.7575757575757578</v>
      </c>
      <c r="H87" s="8">
        <f t="shared" si="44"/>
        <v>6.7891373801916926</v>
      </c>
      <c r="I87" s="8">
        <f t="shared" ref="I87:J87" si="45">I86/I83*100</f>
        <v>5.8013355592654419</v>
      </c>
      <c r="J87" s="8">
        <f t="shared" si="45"/>
        <v>5.6213017751479288</v>
      </c>
      <c r="K87" s="8">
        <f t="shared" ref="K87:L87" si="46">K86/K83*100</f>
        <v>5.8486238532110093</v>
      </c>
      <c r="L87" s="8">
        <f t="shared" si="46"/>
        <v>5.7918552036199094</v>
      </c>
      <c r="M87" s="8">
        <f t="shared" ref="M87" si="47">M86/M83*100</f>
        <v>4</v>
      </c>
    </row>
    <row r="88" spans="2:13" x14ac:dyDescent="0.25">
      <c r="B88" s="22" t="s">
        <v>56</v>
      </c>
      <c r="C88" s="2"/>
      <c r="D88" s="2"/>
      <c r="E88" s="2"/>
      <c r="F88" s="2"/>
      <c r="G88" s="2"/>
      <c r="H88" s="2"/>
      <c r="I88" s="2"/>
      <c r="J88" s="2"/>
      <c r="K88" s="2"/>
      <c r="L88" s="2"/>
      <c r="M88" s="2"/>
    </row>
    <row r="89" spans="2:13" x14ac:dyDescent="0.25">
      <c r="B89" s="11" t="s">
        <v>58</v>
      </c>
      <c r="C89" s="10">
        <f>C83-1976</f>
        <v>701</v>
      </c>
      <c r="D89" s="2">
        <v>688</v>
      </c>
      <c r="E89" s="2">
        <v>704</v>
      </c>
      <c r="F89" s="2">
        <v>698</v>
      </c>
      <c r="G89" s="2">
        <v>622</v>
      </c>
      <c r="H89" s="2">
        <v>552</v>
      </c>
      <c r="I89" s="2">
        <v>503</v>
      </c>
      <c r="J89" s="2">
        <v>518</v>
      </c>
      <c r="K89" s="2">
        <v>514</v>
      </c>
      <c r="L89" s="2">
        <v>516</v>
      </c>
      <c r="M89" s="2">
        <v>486</v>
      </c>
    </row>
    <row r="90" spans="2:13" x14ac:dyDescent="0.25">
      <c r="B90" s="12" t="s">
        <v>42</v>
      </c>
      <c r="C90" s="24">
        <f t="shared" ref="C90:H90" si="48">C89/C83*100</f>
        <v>26.186029137093765</v>
      </c>
      <c r="D90" s="24">
        <f t="shared" si="48"/>
        <v>24.650662844858473</v>
      </c>
      <c r="E90" s="24">
        <f t="shared" si="48"/>
        <v>23.856319891562183</v>
      </c>
      <c r="F90" s="24">
        <f t="shared" si="48"/>
        <v>25.511695906432745</v>
      </c>
      <c r="G90" s="24">
        <f t="shared" si="48"/>
        <v>23.560606060606059</v>
      </c>
      <c r="H90" s="24">
        <f t="shared" si="48"/>
        <v>22.044728434504794</v>
      </c>
      <c r="I90" s="24">
        <f t="shared" ref="I90:J90" si="49">I89/I83*100</f>
        <v>20.993322203672786</v>
      </c>
      <c r="J90" s="24">
        <f t="shared" si="49"/>
        <v>19.15680473372781</v>
      </c>
      <c r="K90" s="24">
        <f t="shared" ref="K90:L90" si="50">K89/K83*100</f>
        <v>19.648318042813457</v>
      </c>
      <c r="L90" s="24">
        <f t="shared" si="50"/>
        <v>23.348416289592759</v>
      </c>
      <c r="M90" s="24">
        <f t="shared" ref="M90" si="51">M89/M83*100</f>
        <v>21.6</v>
      </c>
    </row>
    <row r="91" spans="2:13" x14ac:dyDescent="0.25">
      <c r="B91" s="22" t="s">
        <v>59</v>
      </c>
      <c r="C91" s="74">
        <v>38</v>
      </c>
      <c r="D91" s="74">
        <v>56</v>
      </c>
      <c r="E91" s="74">
        <v>53</v>
      </c>
      <c r="F91" s="74">
        <v>45</v>
      </c>
      <c r="G91" s="2">
        <v>57</v>
      </c>
      <c r="H91" s="2">
        <v>33</v>
      </c>
      <c r="I91" s="2">
        <v>43</v>
      </c>
      <c r="J91" s="2">
        <v>57</v>
      </c>
      <c r="K91" s="2">
        <v>57</v>
      </c>
      <c r="L91" s="2">
        <v>38</v>
      </c>
      <c r="M91" s="2">
        <v>43</v>
      </c>
    </row>
    <row r="92" spans="2:13" x14ac:dyDescent="0.25">
      <c r="B92" s="12" t="s">
        <v>60</v>
      </c>
      <c r="C92" s="8">
        <f t="shared" ref="C92:H92" si="52">C91/C83*100</f>
        <v>1.4194994396712739</v>
      </c>
      <c r="D92" s="8">
        <f t="shared" si="52"/>
        <v>2.0064493013256897</v>
      </c>
      <c r="E92" s="8">
        <f t="shared" si="52"/>
        <v>1.7960013554727212</v>
      </c>
      <c r="F92" s="8">
        <f t="shared" si="52"/>
        <v>1.6447368421052631</v>
      </c>
      <c r="G92" s="8">
        <f t="shared" si="52"/>
        <v>2.1590909090909092</v>
      </c>
      <c r="H92" s="8">
        <f t="shared" si="52"/>
        <v>1.3178913738019169</v>
      </c>
      <c r="I92" s="8">
        <f t="shared" ref="I92:J92" si="53">I91/I83*100</f>
        <v>1.7946577629382305</v>
      </c>
      <c r="J92" s="8">
        <f t="shared" si="53"/>
        <v>2.1079881656804735</v>
      </c>
      <c r="K92" s="8">
        <f t="shared" ref="K92:L92" si="54">K91/K83*100</f>
        <v>2.1788990825688073</v>
      </c>
      <c r="L92" s="8">
        <f t="shared" si="54"/>
        <v>1.7194570135746607</v>
      </c>
      <c r="M92" s="8">
        <f t="shared" ref="M92" si="55">M91/M83*100</f>
        <v>1.911111111111111</v>
      </c>
    </row>
    <row r="93" spans="2:13" x14ac:dyDescent="0.25">
      <c r="B93" s="22" t="s">
        <v>61</v>
      </c>
      <c r="C93" s="2"/>
      <c r="D93" s="2"/>
      <c r="E93" s="2"/>
      <c r="F93" s="2"/>
      <c r="G93" s="2"/>
      <c r="H93" s="2"/>
      <c r="I93" s="2"/>
      <c r="J93" s="2"/>
      <c r="K93" s="2"/>
      <c r="L93" s="2"/>
      <c r="M93" s="2"/>
    </row>
    <row r="94" spans="2:13" x14ac:dyDescent="0.25">
      <c r="B94" s="11" t="s">
        <v>58</v>
      </c>
      <c r="C94" s="74">
        <v>5</v>
      </c>
      <c r="D94" s="84">
        <v>0</v>
      </c>
      <c r="E94" s="73">
        <v>4</v>
      </c>
      <c r="F94" s="73">
        <v>3</v>
      </c>
      <c r="G94" s="2">
        <v>3</v>
      </c>
      <c r="H94" s="2">
        <v>3</v>
      </c>
      <c r="I94" s="2">
        <v>4</v>
      </c>
      <c r="J94" s="2">
        <v>4</v>
      </c>
      <c r="K94" s="2">
        <v>2</v>
      </c>
      <c r="L94" s="2">
        <v>6</v>
      </c>
      <c r="M94" s="2">
        <v>2</v>
      </c>
    </row>
    <row r="95" spans="2:13" x14ac:dyDescent="0.25">
      <c r="B95" s="12" t="s">
        <v>42</v>
      </c>
      <c r="C95" s="8">
        <f t="shared" ref="C95:H95" si="56">C94/C83*100</f>
        <v>0.18677624206200971</v>
      </c>
      <c r="D95" s="8">
        <f t="shared" si="56"/>
        <v>0</v>
      </c>
      <c r="E95" s="8">
        <f t="shared" si="56"/>
        <v>0.13554727211114878</v>
      </c>
      <c r="F95" s="8">
        <f t="shared" si="56"/>
        <v>0.10964912280701754</v>
      </c>
      <c r="G95" s="8">
        <f t="shared" si="56"/>
        <v>0.11363636363636363</v>
      </c>
      <c r="H95" s="8">
        <f t="shared" si="56"/>
        <v>0.11980830670926518</v>
      </c>
      <c r="I95" s="8">
        <f t="shared" ref="I95:J95" si="57">I94/I83*100</f>
        <v>0.1669449081803005</v>
      </c>
      <c r="J95" s="8">
        <f t="shared" si="57"/>
        <v>0.14792899408284024</v>
      </c>
      <c r="K95" s="8">
        <f t="shared" ref="K95:L95" si="58">K94/K83*100</f>
        <v>7.64525993883792E-2</v>
      </c>
      <c r="L95" s="8">
        <f t="shared" si="58"/>
        <v>0.27149321266968324</v>
      </c>
      <c r="M95" s="8">
        <f t="shared" ref="M95" si="59">M94/M83*100</f>
        <v>8.8888888888888892E-2</v>
      </c>
    </row>
    <row r="96" spans="2:13" x14ac:dyDescent="0.25">
      <c r="B96" s="22" t="s">
        <v>57</v>
      </c>
    </row>
    <row r="97" spans="2:13" x14ac:dyDescent="0.25">
      <c r="B97" s="11" t="s">
        <v>58</v>
      </c>
      <c r="C97" s="3" t="s">
        <v>282</v>
      </c>
      <c r="D97" s="3" t="s">
        <v>282</v>
      </c>
      <c r="E97" s="3" t="s">
        <v>282</v>
      </c>
      <c r="F97" s="3" t="s">
        <v>282</v>
      </c>
      <c r="G97" s="3" t="s">
        <v>282</v>
      </c>
      <c r="H97" s="3" t="s">
        <v>282</v>
      </c>
      <c r="I97" s="3" t="s">
        <v>282</v>
      </c>
      <c r="J97" s="3" t="s">
        <v>282</v>
      </c>
      <c r="K97" s="3" t="s">
        <v>282</v>
      </c>
      <c r="L97" s="3" t="s">
        <v>282</v>
      </c>
      <c r="M97" s="3" t="s">
        <v>282</v>
      </c>
    </row>
    <row r="98" spans="2:13" x14ac:dyDescent="0.25">
      <c r="B98" s="12" t="s">
        <v>42</v>
      </c>
    </row>
    <row r="99" spans="2:13" x14ac:dyDescent="0.25">
      <c r="B99" s="12"/>
    </row>
    <row r="100" spans="2:13" x14ac:dyDescent="0.25">
      <c r="B100" s="63" t="s">
        <v>288</v>
      </c>
    </row>
    <row r="101" spans="2:13" x14ac:dyDescent="0.25">
      <c r="B101" s="6"/>
      <c r="F101" s="10"/>
      <c r="G101" s="10"/>
      <c r="H101" s="10"/>
      <c r="I101" s="10"/>
      <c r="J101" s="34"/>
      <c r="K101" s="33"/>
    </row>
    <row r="102" spans="2:13" x14ac:dyDescent="0.25">
      <c r="B102" s="6"/>
    </row>
    <row r="103" spans="2:13" x14ac:dyDescent="0.25">
      <c r="B103" s="6"/>
    </row>
    <row r="104" spans="2:13" x14ac:dyDescent="0.25">
      <c r="B104" s="6"/>
    </row>
    <row r="105" spans="2:13" x14ac:dyDescent="0.25">
      <c r="B105" s="7"/>
    </row>
    <row r="108" spans="2:13" ht="18.75" x14ac:dyDescent="0.3">
      <c r="B108" s="15" t="s">
        <v>112</v>
      </c>
      <c r="C108" s="16">
        <v>2014</v>
      </c>
      <c r="D108" s="16">
        <v>2015</v>
      </c>
      <c r="E108" s="16">
        <v>2016</v>
      </c>
      <c r="F108" s="16">
        <v>2017</v>
      </c>
      <c r="G108" s="16">
        <v>2018</v>
      </c>
      <c r="H108" s="16">
        <v>2019</v>
      </c>
      <c r="I108" s="16">
        <v>2020</v>
      </c>
      <c r="J108" s="16">
        <v>2021</v>
      </c>
      <c r="K108" s="16">
        <v>2022</v>
      </c>
      <c r="L108" s="16">
        <v>2023</v>
      </c>
      <c r="M108" s="16">
        <v>2024</v>
      </c>
    </row>
    <row r="109" spans="2:13" x14ac:dyDescent="0.25">
      <c r="B109" s="22" t="s">
        <v>284</v>
      </c>
      <c r="C109" s="10">
        <v>4192</v>
      </c>
      <c r="D109" s="10">
        <v>4156</v>
      </c>
      <c r="E109" s="10">
        <v>4099</v>
      </c>
      <c r="F109" s="10">
        <v>4042</v>
      </c>
      <c r="G109" s="10">
        <v>4287</v>
      </c>
      <c r="H109" s="10">
        <v>4696</v>
      </c>
      <c r="I109" s="10">
        <v>5106</v>
      </c>
      <c r="J109" s="10">
        <v>5539</v>
      </c>
      <c r="K109" s="10">
        <v>5975</v>
      </c>
      <c r="L109" s="10">
        <v>6808</v>
      </c>
      <c r="M109" s="10">
        <v>7930</v>
      </c>
    </row>
    <row r="110" spans="2:13" x14ac:dyDescent="0.25">
      <c r="B110" s="2" t="s">
        <v>51</v>
      </c>
      <c r="C110" s="2"/>
      <c r="D110" s="2"/>
      <c r="E110" s="2"/>
      <c r="F110" s="2"/>
      <c r="G110" s="2"/>
      <c r="H110" s="2"/>
      <c r="I110" s="2"/>
      <c r="J110" s="2"/>
      <c r="K110" s="2"/>
      <c r="L110" s="2"/>
      <c r="M110" s="2"/>
    </row>
    <row r="111" spans="2:13" x14ac:dyDescent="0.25">
      <c r="B111" s="22" t="s">
        <v>55</v>
      </c>
      <c r="C111" s="2"/>
      <c r="D111" s="2"/>
      <c r="E111" s="2"/>
      <c r="F111" s="2"/>
      <c r="G111" s="10"/>
      <c r="H111" s="10"/>
      <c r="I111" s="10"/>
      <c r="J111" s="10"/>
      <c r="K111" s="10"/>
      <c r="L111" s="10"/>
      <c r="M111" s="10"/>
    </row>
    <row r="112" spans="2:13" x14ac:dyDescent="0.25">
      <c r="B112" s="11" t="s">
        <v>58</v>
      </c>
      <c r="C112" s="23">
        <v>236</v>
      </c>
      <c r="D112" s="23">
        <v>222</v>
      </c>
      <c r="E112" s="23">
        <v>258</v>
      </c>
      <c r="F112" s="23">
        <v>244</v>
      </c>
      <c r="G112" s="70">
        <v>234</v>
      </c>
      <c r="H112" s="70">
        <v>275</v>
      </c>
      <c r="I112" s="70">
        <v>298</v>
      </c>
      <c r="J112" s="70">
        <v>307</v>
      </c>
      <c r="K112" s="70">
        <v>361</v>
      </c>
      <c r="L112" s="70">
        <v>414</v>
      </c>
      <c r="M112" s="70">
        <v>556</v>
      </c>
    </row>
    <row r="113" spans="2:13" x14ac:dyDescent="0.25">
      <c r="B113" s="12" t="s">
        <v>42</v>
      </c>
      <c r="C113" s="8">
        <f t="shared" ref="C113:H113" si="60">C112/C109*100</f>
        <v>5.6297709923664119</v>
      </c>
      <c r="D113" s="8">
        <f t="shared" si="60"/>
        <v>5.3416746871992302</v>
      </c>
      <c r="E113" s="8">
        <f t="shared" si="60"/>
        <v>6.2942181019760914</v>
      </c>
      <c r="F113" s="8">
        <f t="shared" si="60"/>
        <v>6.0366155368629393</v>
      </c>
      <c r="G113" s="8">
        <f t="shared" si="60"/>
        <v>5.4583624912526236</v>
      </c>
      <c r="H113" s="8">
        <f t="shared" si="60"/>
        <v>5.8560477001703575</v>
      </c>
      <c r="I113" s="8">
        <f t="shared" ref="I113:J113" si="61">I112/I109*100</f>
        <v>5.8362710536623581</v>
      </c>
      <c r="J113" s="8">
        <f t="shared" si="61"/>
        <v>5.5425166997653008</v>
      </c>
      <c r="K113" s="8">
        <f t="shared" ref="K113:L113" si="62">K112/K109*100</f>
        <v>6.0418410041841</v>
      </c>
      <c r="L113" s="8">
        <f t="shared" si="62"/>
        <v>6.0810810810810816</v>
      </c>
      <c r="M113" s="8">
        <f>M112/M109*100</f>
        <v>7.0113493064312733</v>
      </c>
    </row>
    <row r="114" spans="2:13" x14ac:dyDescent="0.25">
      <c r="B114" s="22" t="s">
        <v>56</v>
      </c>
      <c r="C114" s="2"/>
      <c r="D114" s="2"/>
      <c r="E114" s="2"/>
      <c r="F114" s="2"/>
      <c r="G114" s="8"/>
      <c r="H114" s="8"/>
      <c r="I114" s="8"/>
      <c r="J114" s="8"/>
      <c r="K114" s="8"/>
      <c r="L114" s="8"/>
      <c r="M114" s="8"/>
    </row>
    <row r="115" spans="2:13" x14ac:dyDescent="0.25">
      <c r="B115" s="11" t="s">
        <v>58</v>
      </c>
      <c r="C115" s="10">
        <v>1312</v>
      </c>
      <c r="D115" s="10">
        <v>1305</v>
      </c>
      <c r="E115" s="10">
        <v>1257</v>
      </c>
      <c r="F115" s="10">
        <v>1224</v>
      </c>
      <c r="G115" s="10">
        <v>1303</v>
      </c>
      <c r="H115" s="10">
        <v>1396</v>
      </c>
      <c r="I115" s="10">
        <v>1446</v>
      </c>
      <c r="J115" s="10">
        <v>1413</v>
      </c>
      <c r="K115" s="10">
        <v>1459</v>
      </c>
      <c r="L115" s="10">
        <v>1548</v>
      </c>
      <c r="M115" s="10">
        <v>1701</v>
      </c>
    </row>
    <row r="116" spans="2:13" x14ac:dyDescent="0.25">
      <c r="B116" s="12" t="s">
        <v>42</v>
      </c>
      <c r="C116" s="24">
        <f t="shared" ref="C116:H116" si="63">C115/C109*100</f>
        <v>31.297709923664126</v>
      </c>
      <c r="D116" s="24">
        <f t="shared" si="63"/>
        <v>31.40038498556304</v>
      </c>
      <c r="E116" s="24">
        <f t="shared" si="63"/>
        <v>30.666016101488168</v>
      </c>
      <c r="F116" s="24">
        <f t="shared" si="63"/>
        <v>30.282038594755072</v>
      </c>
      <c r="G116" s="24">
        <f t="shared" si="63"/>
        <v>30.394215068812692</v>
      </c>
      <c r="H116" s="24">
        <f t="shared" si="63"/>
        <v>29.727427597955707</v>
      </c>
      <c r="I116" s="24">
        <f>I115/I109*100</f>
        <v>28.319623971797885</v>
      </c>
      <c r="J116" s="24">
        <f>J115/J109*100</f>
        <v>25.510019859180353</v>
      </c>
      <c r="K116" s="24">
        <f>K115/K109*100</f>
        <v>24.418410041841003</v>
      </c>
      <c r="L116" s="24">
        <f>L115/L109*100</f>
        <v>22.737955346650999</v>
      </c>
      <c r="M116" s="24">
        <f>M115/M109*100</f>
        <v>21.450189155107189</v>
      </c>
    </row>
    <row r="117" spans="2:13" x14ac:dyDescent="0.25">
      <c r="B117" s="22" t="s">
        <v>59</v>
      </c>
      <c r="C117" s="2">
        <v>131</v>
      </c>
      <c r="D117" s="2">
        <v>130</v>
      </c>
      <c r="E117" s="2">
        <v>106</v>
      </c>
      <c r="F117" s="2">
        <v>103</v>
      </c>
      <c r="G117" s="19">
        <v>116</v>
      </c>
      <c r="H117" s="19">
        <v>102</v>
      </c>
      <c r="I117" s="19">
        <v>109</v>
      </c>
      <c r="J117" s="19">
        <v>101</v>
      </c>
      <c r="K117" s="19">
        <v>91</v>
      </c>
      <c r="L117" s="19">
        <v>81</v>
      </c>
      <c r="M117" s="19">
        <v>100</v>
      </c>
    </row>
    <row r="118" spans="2:13" x14ac:dyDescent="0.25">
      <c r="B118" s="12" t="s">
        <v>60</v>
      </c>
      <c r="C118" s="8">
        <f t="shared" ref="C118:H118" si="64">C117/C109*100</f>
        <v>3.125</v>
      </c>
      <c r="D118" s="8">
        <f t="shared" si="64"/>
        <v>3.1280076997112611</v>
      </c>
      <c r="E118" s="8">
        <f t="shared" si="64"/>
        <v>2.585996584532813</v>
      </c>
      <c r="F118" s="8">
        <f t="shared" si="64"/>
        <v>2.5482434438396835</v>
      </c>
      <c r="G118" s="8">
        <f t="shared" si="64"/>
        <v>2.7058549101936085</v>
      </c>
      <c r="H118" s="8">
        <f t="shared" si="64"/>
        <v>2.17206132879046</v>
      </c>
      <c r="I118" s="8">
        <f t="shared" ref="I118:J118" si="65">I117/I109*100</f>
        <v>2.134743439091265</v>
      </c>
      <c r="J118" s="8">
        <f t="shared" si="65"/>
        <v>1.8234338328218092</v>
      </c>
      <c r="K118" s="8">
        <f t="shared" ref="K118:L118" si="66">K117/K109*100</f>
        <v>1.5230125523012552</v>
      </c>
      <c r="L118" s="8">
        <f t="shared" si="66"/>
        <v>1.189776733254994</v>
      </c>
      <c r="M118" s="8">
        <f t="shared" ref="M118" si="67">M117/M109*100</f>
        <v>1.2610340479192939</v>
      </c>
    </row>
    <row r="119" spans="2:13" x14ac:dyDescent="0.25">
      <c r="B119" s="22" t="s">
        <v>235</v>
      </c>
      <c r="C119" s="2"/>
      <c r="D119" s="2"/>
      <c r="E119" s="2"/>
      <c r="F119" s="2"/>
      <c r="G119" s="19"/>
      <c r="H119" s="19"/>
      <c r="I119" s="19"/>
      <c r="J119" s="19"/>
      <c r="K119" s="19"/>
      <c r="L119" s="19"/>
      <c r="M119" s="19"/>
    </row>
    <row r="120" spans="2:13" x14ac:dyDescent="0.25">
      <c r="B120" s="11" t="s">
        <v>58</v>
      </c>
      <c r="C120" s="2">
        <v>0</v>
      </c>
      <c r="D120" s="2">
        <v>2</v>
      </c>
      <c r="E120" s="2">
        <v>3</v>
      </c>
      <c r="F120" s="25">
        <v>0</v>
      </c>
      <c r="G120" s="70">
        <v>3</v>
      </c>
      <c r="H120" s="70">
        <v>0</v>
      </c>
      <c r="I120" s="70">
        <v>1</v>
      </c>
      <c r="J120" s="70">
        <v>0</v>
      </c>
      <c r="K120" s="70">
        <v>0</v>
      </c>
      <c r="L120" s="70">
        <v>0</v>
      </c>
      <c r="M120" s="70">
        <v>0</v>
      </c>
    </row>
    <row r="121" spans="2:13" x14ac:dyDescent="0.25">
      <c r="B121" s="12" t="s">
        <v>42</v>
      </c>
      <c r="C121" s="8">
        <f t="shared" ref="C121:H121" si="68">C120/C109*100</f>
        <v>0</v>
      </c>
      <c r="D121" s="8">
        <f t="shared" si="68"/>
        <v>4.8123195380173248E-2</v>
      </c>
      <c r="E121" s="8">
        <f t="shared" si="68"/>
        <v>7.3188582581117351E-2</v>
      </c>
      <c r="F121" s="8">
        <f t="shared" si="68"/>
        <v>0</v>
      </c>
      <c r="G121" s="8">
        <f t="shared" si="68"/>
        <v>6.997900629811056E-2</v>
      </c>
      <c r="H121" s="8">
        <f t="shared" si="68"/>
        <v>0</v>
      </c>
      <c r="I121" s="8">
        <f t="shared" ref="I121:J121" si="69">I120/I109*100</f>
        <v>1.9584802193497845E-2</v>
      </c>
      <c r="J121" s="8">
        <f t="shared" si="69"/>
        <v>0</v>
      </c>
      <c r="K121" s="8">
        <f t="shared" ref="K121:L121" si="70">K120/K109*100</f>
        <v>0</v>
      </c>
      <c r="L121" s="8">
        <f t="shared" si="70"/>
        <v>0</v>
      </c>
      <c r="M121" s="8">
        <f t="shared" ref="M121" si="71">M120/M109*100</f>
        <v>0</v>
      </c>
    </row>
    <row r="122" spans="2:13" x14ac:dyDescent="0.25">
      <c r="B122" s="22" t="s">
        <v>57</v>
      </c>
      <c r="C122" s="2"/>
      <c r="D122" s="2"/>
      <c r="E122" s="2"/>
      <c r="F122" s="2"/>
      <c r="G122" s="19"/>
      <c r="H122" s="19"/>
      <c r="I122" s="19"/>
      <c r="J122" s="19"/>
      <c r="K122" s="19"/>
      <c r="L122" s="19"/>
      <c r="M122" s="19"/>
    </row>
    <row r="123" spans="2:13" x14ac:dyDescent="0.25">
      <c r="B123" s="11" t="s">
        <v>58</v>
      </c>
      <c r="C123" s="23">
        <v>144</v>
      </c>
      <c r="D123" s="23">
        <v>142</v>
      </c>
      <c r="E123" s="23">
        <v>145</v>
      </c>
      <c r="F123" s="23">
        <v>144</v>
      </c>
      <c r="G123" s="19">
        <v>154</v>
      </c>
      <c r="H123" s="19">
        <v>156</v>
      </c>
      <c r="I123" s="19">
        <v>152</v>
      </c>
      <c r="J123" s="19">
        <v>157</v>
      </c>
      <c r="K123" s="19">
        <v>189</v>
      </c>
      <c r="L123" s="19">
        <v>202</v>
      </c>
      <c r="M123" s="19">
        <v>224</v>
      </c>
    </row>
    <row r="124" spans="2:13" x14ac:dyDescent="0.25">
      <c r="B124" s="12" t="s">
        <v>42</v>
      </c>
      <c r="C124" s="8">
        <f t="shared" ref="C124:H124" si="72">C123/C109*100</f>
        <v>3.4351145038167941</v>
      </c>
      <c r="D124" s="8">
        <f t="shared" si="72"/>
        <v>3.4167468719923004</v>
      </c>
      <c r="E124" s="8">
        <f t="shared" si="72"/>
        <v>3.5374481580873383</v>
      </c>
      <c r="F124" s="8">
        <f t="shared" si="72"/>
        <v>3.5625927758535374</v>
      </c>
      <c r="G124" s="8">
        <f t="shared" si="72"/>
        <v>3.5922556566363424</v>
      </c>
      <c r="H124" s="8">
        <f t="shared" si="72"/>
        <v>3.3219761499148208</v>
      </c>
      <c r="I124" s="8">
        <f t="shared" ref="I124:J124" si="73">I123/I109*100</f>
        <v>2.9768899334116727</v>
      </c>
      <c r="J124" s="8">
        <f t="shared" si="73"/>
        <v>2.8344466510200399</v>
      </c>
      <c r="K124" s="8">
        <f t="shared" ref="K124:L124" si="74">K123/K109*100</f>
        <v>3.1631799163179917</v>
      </c>
      <c r="L124" s="8">
        <f t="shared" si="74"/>
        <v>2.9670975323149236</v>
      </c>
      <c r="M124" s="8">
        <f t="shared" ref="M124" si="75">M123/M109*100</f>
        <v>2.8247162673392183</v>
      </c>
    </row>
    <row r="125" spans="2:13" x14ac:dyDescent="0.25">
      <c r="B125" s="12"/>
      <c r="C125" s="8"/>
      <c r="D125" s="8"/>
      <c r="E125" s="8"/>
      <c r="F125" s="8"/>
      <c r="G125" s="8"/>
      <c r="H125" s="8"/>
    </row>
    <row r="126" spans="2:13" x14ac:dyDescent="0.25">
      <c r="B126" s="63" t="s">
        <v>289</v>
      </c>
    </row>
    <row r="127" spans="2:13" x14ac:dyDescent="0.25">
      <c r="B127" s="63" t="s">
        <v>234</v>
      </c>
    </row>
    <row r="128" spans="2:13" x14ac:dyDescent="0.25">
      <c r="B128" s="6"/>
    </row>
    <row r="129" spans="2:2" x14ac:dyDescent="0.25">
      <c r="B129" s="6"/>
    </row>
    <row r="130" spans="2:2" x14ac:dyDescent="0.25">
      <c r="B130" s="6"/>
    </row>
    <row r="131" spans="2:2" x14ac:dyDescent="0.25">
      <c r="B131" s="7"/>
    </row>
  </sheetData>
  <pageMargins left="0.7" right="0.7" top="0.75" bottom="0.75" header="0.3" footer="0.3"/>
  <pageSetup paperSize="9" orientation="portrait" r:id="rId1"/>
  <ignoredErrors>
    <ignoredError sqref="C90:G90 C116:K116 H90:K90 M116" unlockedFormula="1"/>
    <ignoredError sqref="K10:K11 K13 K15:K16 K18:K19" formula="1"/>
    <ignoredError sqref="L35:L36 L61:L62 L87:L88 L113:L114 L10 L118:L119 L121:L122 L124 L38 L40:L41 L43:L44 L46 L15 L18 L64 L66:L67 L69:L70 L72 L95 L92:L93" evalError="1"/>
    <ignoredError sqref="L116 L90" evalError="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131"/>
  <sheetViews>
    <sheetView zoomScaleNormal="100" workbookViewId="0">
      <pane ySplit="2" topLeftCell="A3" activePane="bottomLeft" state="frozen"/>
      <selection activeCell="K42" sqref="K42"/>
      <selection pane="bottomLeft"/>
    </sheetView>
  </sheetViews>
  <sheetFormatPr defaultColWidth="9" defaultRowHeight="15" x14ac:dyDescent="0.25"/>
  <cols>
    <col min="1" max="1" width="1.625" style="1" customWidth="1"/>
    <col min="2" max="2" width="44" style="1" customWidth="1"/>
    <col min="3" max="10" width="10" style="1" customWidth="1"/>
    <col min="11" max="16384" width="9" style="1"/>
  </cols>
  <sheetData>
    <row r="2" spans="2:13" ht="18.75" x14ac:dyDescent="0.3">
      <c r="B2" s="4" t="s">
        <v>8</v>
      </c>
    </row>
    <row r="3" spans="2:13" ht="18.75" x14ac:dyDescent="0.3">
      <c r="B3" s="4"/>
    </row>
    <row r="4" spans="2:13" ht="18.75" x14ac:dyDescent="0.3">
      <c r="B4" s="15" t="s">
        <v>113</v>
      </c>
      <c r="C4" s="16">
        <v>2014</v>
      </c>
      <c r="D4" s="16">
        <v>2015</v>
      </c>
      <c r="E4" s="16">
        <v>2016</v>
      </c>
      <c r="F4" s="16">
        <v>2017</v>
      </c>
      <c r="G4" s="16">
        <v>2018</v>
      </c>
      <c r="H4" s="16">
        <v>2019</v>
      </c>
      <c r="I4" s="16">
        <v>2020</v>
      </c>
      <c r="J4" s="16">
        <v>2021</v>
      </c>
      <c r="K4" s="16">
        <v>2022</v>
      </c>
      <c r="L4" s="16">
        <v>2023</v>
      </c>
      <c r="M4" s="16">
        <v>2024</v>
      </c>
    </row>
    <row r="5" spans="2:13" x14ac:dyDescent="0.25">
      <c r="B5" s="22" t="s">
        <v>62</v>
      </c>
    </row>
    <row r="6" spans="2:13" x14ac:dyDescent="0.25">
      <c r="B6" s="11" t="s">
        <v>64</v>
      </c>
      <c r="C6" s="30">
        <v>61</v>
      </c>
      <c r="D6" s="30">
        <v>55</v>
      </c>
      <c r="E6" s="30">
        <v>55</v>
      </c>
      <c r="F6" s="30">
        <v>68</v>
      </c>
      <c r="G6" s="2">
        <v>66</v>
      </c>
      <c r="H6" s="2">
        <v>62</v>
      </c>
      <c r="I6" s="2">
        <v>63</v>
      </c>
      <c r="J6" s="2">
        <v>44</v>
      </c>
      <c r="K6" s="109">
        <v>40</v>
      </c>
      <c r="L6" s="10">
        <v>28</v>
      </c>
      <c r="M6" s="10">
        <v>28</v>
      </c>
    </row>
    <row r="7" spans="2:13" x14ac:dyDescent="0.25">
      <c r="B7" s="12" t="s">
        <v>65</v>
      </c>
      <c r="C7" s="8">
        <f>C6/('Tabell 8'!C7*365)*100000</f>
        <v>13.777682413127195</v>
      </c>
      <c r="D7" s="8">
        <f>D6/('Tabell 8'!D7*365)*100000</f>
        <v>13.965239249939696</v>
      </c>
      <c r="E7" s="8">
        <f>E6/('Tabell 8'!E7*365)*100000</f>
        <v>14.381077639516064</v>
      </c>
      <c r="F7" s="8">
        <f>F6/('Tabell 8'!F7*365)*100000</f>
        <v>17.742987606001304</v>
      </c>
      <c r="G7" s="8">
        <f>G6/('Tabell 8'!G7*365)*100000</f>
        <v>16.869289841236977</v>
      </c>
      <c r="H7" s="8">
        <f>H6/('Tabell 8'!H7*365)*100000</f>
        <v>15.234351004361448</v>
      </c>
      <c r="I7" s="8">
        <f>I6/('Tabell 8'!I7*365)*100000</f>
        <v>16.329492878526718</v>
      </c>
      <c r="J7" s="8">
        <f>J6/('Tabell 8'!J7*365)*100000</f>
        <v>11.134011748912853</v>
      </c>
      <c r="K7" s="8">
        <f>K6/('Tabell 8'!K7*365)*100000</f>
        <v>9.9980253899854645</v>
      </c>
      <c r="L7" s="8">
        <f>L6/('Tabell 8'!L7*365)*100000</f>
        <v>7.2804805117137876</v>
      </c>
      <c r="M7" s="8">
        <f>M6/('Tabell 8'!M7*365)*100000</f>
        <v>7.4658803693935498</v>
      </c>
    </row>
    <row r="8" spans="2:13" x14ac:dyDescent="0.25">
      <c r="B8" s="2"/>
      <c r="C8" s="2"/>
      <c r="D8" s="2"/>
      <c r="E8" s="2"/>
      <c r="F8" s="2"/>
      <c r="G8" s="2"/>
      <c r="H8" s="2"/>
      <c r="I8" s="2"/>
      <c r="K8" s="118"/>
    </row>
    <row r="9" spans="2:13" x14ac:dyDescent="0.25">
      <c r="B9" s="22" t="s">
        <v>63</v>
      </c>
      <c r="C9" s="2"/>
      <c r="D9" s="2"/>
      <c r="E9" s="2"/>
      <c r="F9" s="2"/>
      <c r="G9" s="2"/>
      <c r="H9" s="2"/>
      <c r="I9" s="2"/>
      <c r="K9" s="118"/>
    </row>
    <row r="10" spans="2:13" x14ac:dyDescent="0.25">
      <c r="B10" s="11" t="s">
        <v>64</v>
      </c>
      <c r="C10" s="30">
        <v>11</v>
      </c>
      <c r="D10" s="30">
        <v>2</v>
      </c>
      <c r="E10" s="30">
        <v>1</v>
      </c>
      <c r="F10" s="30">
        <v>1</v>
      </c>
      <c r="G10" s="2">
        <v>2</v>
      </c>
      <c r="H10" s="2">
        <v>3</v>
      </c>
      <c r="I10" s="2">
        <v>5</v>
      </c>
      <c r="J10" s="1">
        <v>3</v>
      </c>
      <c r="K10" s="109">
        <v>5</v>
      </c>
      <c r="L10" s="109">
        <v>0</v>
      </c>
      <c r="M10" s="109">
        <v>0</v>
      </c>
    </row>
    <row r="11" spans="2:13" x14ac:dyDescent="0.25">
      <c r="B11" s="12" t="s">
        <v>66</v>
      </c>
      <c r="C11" s="8">
        <f>C10/(('Tabell 8'!C12+'Tabell 8'!C17)*365)*100000</f>
        <v>1.1721892765993724</v>
      </c>
      <c r="D11" s="8">
        <f>D10/(('Tabell 8'!D12+'Tabell 8'!D17)*365)*100000</f>
        <v>0.23387477292221268</v>
      </c>
      <c r="E11" s="8">
        <f>E10/(('Tabell 8'!E12+'Tabell 8'!E17)*365)*100000</f>
        <v>0.11547357444985502</v>
      </c>
      <c r="F11" s="8">
        <f>F10/(('Tabell 8'!F12+'Tabell 8'!F17)*365)*100000</f>
        <v>0.11415525114155252</v>
      </c>
      <c r="G11" s="8">
        <f>G10/(('Tabell 8'!G12+'Tabell 8'!G17)*365)*100000</f>
        <v>0.20549229532325222</v>
      </c>
      <c r="H11" s="8">
        <f>H10/(('Tabell 8'!H12+'Tabell 8'!H17)*365)*100000</f>
        <v>0.28748436803748795</v>
      </c>
      <c r="I11" s="8">
        <f>I10/(('Tabell 8'!I12+'Tabell 8'!I17)*365)*100000</f>
        <v>0.45239861746982502</v>
      </c>
      <c r="J11" s="8">
        <f>J10/(('Tabell 8'!J12+'Tabell 8'!J17)*365)*100000</f>
        <v>0.26633759177549515</v>
      </c>
      <c r="K11" s="8">
        <f>K10/(('Tabell 8'!K12+'Tabell 8'!K17)*365)*100000</f>
        <v>0.43962652847153266</v>
      </c>
      <c r="L11" s="8">
        <f>L10/(('Tabell 8'!L12+'Tabell 8'!L17)*365)*100000</f>
        <v>0</v>
      </c>
      <c r="M11" s="8">
        <f>M10/(('Tabell 8'!M12+'Tabell 8'!M17)*365)*100000</f>
        <v>0</v>
      </c>
    </row>
    <row r="12" spans="2:13" x14ac:dyDescent="0.25">
      <c r="B12" s="12"/>
    </row>
    <row r="13" spans="2:13" x14ac:dyDescent="0.25">
      <c r="B13" s="22"/>
    </row>
    <row r="14" spans="2:13" x14ac:dyDescent="0.25">
      <c r="B14" s="12"/>
    </row>
    <row r="15" spans="2:13" x14ac:dyDescent="0.25">
      <c r="B15" s="22"/>
    </row>
    <row r="16" spans="2:13" x14ac:dyDescent="0.25">
      <c r="B16" s="11"/>
    </row>
    <row r="17" spans="2:13" x14ac:dyDescent="0.25">
      <c r="B17" s="12"/>
    </row>
    <row r="18" spans="2:13" x14ac:dyDescent="0.25">
      <c r="B18" s="22"/>
    </row>
    <row r="19" spans="2:13" x14ac:dyDescent="0.25">
      <c r="B19" s="11"/>
    </row>
    <row r="20" spans="2:13" x14ac:dyDescent="0.25">
      <c r="B20" s="12"/>
    </row>
    <row r="21" spans="2:13" x14ac:dyDescent="0.25">
      <c r="B21" s="12"/>
    </row>
    <row r="22" spans="2:13" x14ac:dyDescent="0.25">
      <c r="B22" s="7"/>
    </row>
    <row r="23" spans="2:13" x14ac:dyDescent="0.25">
      <c r="B23" s="6"/>
    </row>
    <row r="24" spans="2:13" x14ac:dyDescent="0.25">
      <c r="B24" s="6"/>
    </row>
    <row r="25" spans="2:13" x14ac:dyDescent="0.25">
      <c r="B25" s="6"/>
    </row>
    <row r="26" spans="2:13" x14ac:dyDescent="0.25">
      <c r="B26" s="6"/>
    </row>
    <row r="27" spans="2:13" x14ac:dyDescent="0.25">
      <c r="B27" s="7"/>
    </row>
    <row r="30" spans="2:13" ht="18.75" x14ac:dyDescent="0.3">
      <c r="B30" s="15" t="s">
        <v>114</v>
      </c>
      <c r="C30" s="16">
        <v>2014</v>
      </c>
      <c r="D30" s="16">
        <v>2015</v>
      </c>
      <c r="E30" s="16">
        <v>2016</v>
      </c>
      <c r="F30" s="16">
        <v>2017</v>
      </c>
      <c r="G30" s="16">
        <v>2018</v>
      </c>
      <c r="H30" s="16">
        <v>2019</v>
      </c>
      <c r="I30" s="16">
        <v>2020</v>
      </c>
      <c r="J30" s="16">
        <v>2021</v>
      </c>
      <c r="K30" s="16">
        <v>2022</v>
      </c>
      <c r="L30" s="16">
        <v>2023</v>
      </c>
      <c r="M30" s="16">
        <v>2024</v>
      </c>
    </row>
    <row r="31" spans="2:13" x14ac:dyDescent="0.25">
      <c r="B31" s="22" t="s">
        <v>62</v>
      </c>
    </row>
    <row r="32" spans="2:13" x14ac:dyDescent="0.25">
      <c r="B32" s="11" t="s">
        <v>64</v>
      </c>
      <c r="C32" s="2">
        <v>39</v>
      </c>
      <c r="D32" s="2">
        <v>42</v>
      </c>
      <c r="E32" s="2">
        <v>55</v>
      </c>
      <c r="F32" s="2">
        <v>63</v>
      </c>
      <c r="G32" s="2">
        <v>52</v>
      </c>
      <c r="H32" s="2">
        <v>38</v>
      </c>
      <c r="I32" s="2">
        <v>73</v>
      </c>
      <c r="J32" s="2">
        <v>75</v>
      </c>
      <c r="K32" s="2">
        <v>60</v>
      </c>
      <c r="L32" s="2">
        <v>60</v>
      </c>
      <c r="M32" s="2">
        <v>64</v>
      </c>
    </row>
    <row r="33" spans="2:13" x14ac:dyDescent="0.25">
      <c r="B33" s="12" t="s">
        <v>65</v>
      </c>
      <c r="C33" s="8">
        <f>C32/('Tabell 8'!C33*365)*100000</f>
        <v>14.439096630877453</v>
      </c>
      <c r="D33" s="8">
        <f>D32/('Tabell 8'!D33*365)*100000</f>
        <v>15.342465753424657</v>
      </c>
      <c r="E33" s="8">
        <f>E32/('Tabell 8'!E33*365)*100000</f>
        <v>18.557257574735139</v>
      </c>
      <c r="F33" s="8">
        <f>F32/('Tabell 8'!F33*365)*100000</f>
        <v>20.499137734682588</v>
      </c>
      <c r="G33" s="8">
        <f>G32/('Tabell 8'!G33*365)*100000</f>
        <v>17.545043525204129</v>
      </c>
      <c r="H33" s="8">
        <f>H32/('Tabell 8'!H33*365)*100000</f>
        <v>12.86892324364597</v>
      </c>
      <c r="I33" s="8">
        <f>I32/('Tabell 8'!I33*365)*100000</f>
        <v>26.07561929595828</v>
      </c>
      <c r="J33" s="8">
        <f>J32/('Tabell 8'!J33*365)*100000</f>
        <v>25.462137801089778</v>
      </c>
      <c r="K33" s="8">
        <f>K32/('Tabell 8'!K33*365)*100000</f>
        <v>20.573662283333618</v>
      </c>
      <c r="L33" s="8">
        <f>L32/('Tabell 8'!L33*365)*100000</f>
        <v>19.136619516162469</v>
      </c>
      <c r="M33" s="8">
        <f>M32/('Tabell 8'!M33*365)*100000</f>
        <v>18.379713391344303</v>
      </c>
    </row>
    <row r="34" spans="2:13" x14ac:dyDescent="0.25">
      <c r="B34" s="2"/>
      <c r="C34" s="2"/>
      <c r="D34" s="2"/>
      <c r="E34" s="2"/>
      <c r="F34" s="2"/>
      <c r="G34" s="2"/>
      <c r="H34" s="2"/>
      <c r="I34" s="2"/>
      <c r="J34" s="2"/>
      <c r="K34" s="2"/>
      <c r="L34" s="2"/>
      <c r="M34" s="2"/>
    </row>
    <row r="35" spans="2:13" x14ac:dyDescent="0.25">
      <c r="B35" s="22" t="s">
        <v>63</v>
      </c>
      <c r="C35" s="2"/>
      <c r="D35" s="2"/>
      <c r="E35" s="2"/>
      <c r="F35" s="2"/>
      <c r="G35" s="2"/>
      <c r="H35" s="2"/>
      <c r="I35" s="2"/>
      <c r="J35" s="2"/>
      <c r="K35" s="2"/>
      <c r="L35" s="2"/>
      <c r="M35" s="2"/>
    </row>
    <row r="36" spans="2:13" x14ac:dyDescent="0.25">
      <c r="B36" s="11" t="s">
        <v>64</v>
      </c>
      <c r="C36" s="2">
        <v>7</v>
      </c>
      <c r="D36" s="2">
        <v>2</v>
      </c>
      <c r="E36" s="2">
        <v>4</v>
      </c>
      <c r="F36" s="2">
        <v>5</v>
      </c>
      <c r="G36" s="2">
        <v>1</v>
      </c>
      <c r="H36" s="2">
        <v>1</v>
      </c>
      <c r="I36" s="2">
        <v>2</v>
      </c>
      <c r="J36" s="2">
        <v>1</v>
      </c>
      <c r="K36" s="2">
        <v>5</v>
      </c>
      <c r="L36" s="2">
        <v>1</v>
      </c>
      <c r="M36" s="2">
        <v>0</v>
      </c>
    </row>
    <row r="37" spans="2:13" x14ac:dyDescent="0.25">
      <c r="B37" s="12" t="s">
        <v>66</v>
      </c>
      <c r="C37" s="8">
        <f>C36/(('Tabell 8'!C38+'Tabell 8'!C43)*365)*100000</f>
        <v>0.88296879336007472</v>
      </c>
      <c r="D37" s="8">
        <f>D36/(('Tabell 8'!D38+'Tabell 8'!D43)*365)*100000</f>
        <v>0.26117502644397145</v>
      </c>
      <c r="E37" s="8">
        <f>E36/(('Tabell 8'!E38+'Tabell 8'!E43)*365)*100000</f>
        <v>0.52284847851092753</v>
      </c>
      <c r="F37" s="8">
        <f>F36/(('Tabell 8'!F38+'Tabell 8'!F43)*365)*100000</f>
        <v>0.69571509075603355</v>
      </c>
      <c r="G37" s="8">
        <f>G36/(('Tabell 8'!G38+'Tabell 8'!G43)*365)*100000</f>
        <v>0.14542070209114971</v>
      </c>
      <c r="H37" s="8">
        <f>H36/(('Tabell 8'!H38+'Tabell 8'!H43)*365)*100000</f>
        <v>0.14276842248031579</v>
      </c>
      <c r="I37" s="8">
        <f>I36/(('Tabell 8'!I38+'Tabell 8'!I43)*365)*100000</f>
        <v>0.30424497805633094</v>
      </c>
      <c r="J37" s="8">
        <f>J36/(('Tabell 8'!J38+'Tabell 8'!J43)*365)*100000</f>
        <v>0.15504957710227846</v>
      </c>
      <c r="K37" s="8">
        <f>K36/(('Tabell 8'!K38+'Tabell 8'!K43)*365)*100000</f>
        <v>0.68152388741225378</v>
      </c>
      <c r="L37" s="8">
        <f>L36/(('Tabell 8'!L38+'Tabell 8'!L43)*365)*100000</f>
        <v>0.13449808676471578</v>
      </c>
      <c r="M37" s="8">
        <f>M36/(('Tabell 8'!M38+'Tabell 8'!M43)*365)*100000</f>
        <v>0</v>
      </c>
    </row>
    <row r="38" spans="2:13" x14ac:dyDescent="0.25">
      <c r="B38" s="12"/>
    </row>
    <row r="39" spans="2:13" x14ac:dyDescent="0.25">
      <c r="B39" s="2"/>
    </row>
    <row r="40" spans="2:13" x14ac:dyDescent="0.25">
      <c r="B40" s="12"/>
    </row>
    <row r="41" spans="2:13" x14ac:dyDescent="0.25">
      <c r="B41" s="22"/>
    </row>
    <row r="42" spans="2:13" x14ac:dyDescent="0.25">
      <c r="B42" s="11"/>
    </row>
    <row r="43" spans="2:13" x14ac:dyDescent="0.25">
      <c r="B43" s="12"/>
    </row>
    <row r="44" spans="2:13" x14ac:dyDescent="0.25">
      <c r="B44" s="22"/>
    </row>
    <row r="45" spans="2:13" x14ac:dyDescent="0.25">
      <c r="B45" s="11"/>
    </row>
    <row r="46" spans="2:13" x14ac:dyDescent="0.25">
      <c r="B46" s="12"/>
    </row>
    <row r="47" spans="2:13" x14ac:dyDescent="0.25">
      <c r="B47" s="12"/>
    </row>
    <row r="48" spans="2:13" x14ac:dyDescent="0.25">
      <c r="B48" s="7"/>
    </row>
    <row r="49" spans="2:13" x14ac:dyDescent="0.25">
      <c r="B49" s="6"/>
    </row>
    <row r="50" spans="2:13" x14ac:dyDescent="0.25">
      <c r="B50" s="6"/>
    </row>
    <row r="51" spans="2:13" x14ac:dyDescent="0.25">
      <c r="B51" s="6"/>
    </row>
    <row r="52" spans="2:13" x14ac:dyDescent="0.25">
      <c r="B52" s="6"/>
    </row>
    <row r="53" spans="2:13" x14ac:dyDescent="0.25">
      <c r="B53" s="7"/>
    </row>
    <row r="56" spans="2:13" ht="18.75" x14ac:dyDescent="0.3">
      <c r="B56" s="15" t="s">
        <v>115</v>
      </c>
      <c r="C56" s="16">
        <v>2014</v>
      </c>
      <c r="D56" s="16">
        <v>2015</v>
      </c>
      <c r="E56" s="16">
        <v>2016</v>
      </c>
      <c r="F56" s="16">
        <v>2017</v>
      </c>
      <c r="G56" s="16">
        <v>2018</v>
      </c>
      <c r="H56" s="16">
        <v>2019</v>
      </c>
      <c r="I56" s="16">
        <v>2020</v>
      </c>
      <c r="J56" s="16">
        <v>2021</v>
      </c>
      <c r="K56" s="16">
        <v>2022</v>
      </c>
      <c r="L56" s="16">
        <v>2023</v>
      </c>
      <c r="M56" s="16">
        <v>2024</v>
      </c>
    </row>
    <row r="57" spans="2:13" x14ac:dyDescent="0.25">
      <c r="B57" s="22" t="s">
        <v>62</v>
      </c>
      <c r="M57" s="161"/>
    </row>
    <row r="58" spans="2:13" x14ac:dyDescent="0.25">
      <c r="B58" s="11" t="s">
        <v>64</v>
      </c>
      <c r="C58" s="30">
        <v>0</v>
      </c>
      <c r="D58" s="30">
        <v>0</v>
      </c>
      <c r="E58" s="30">
        <v>2</v>
      </c>
      <c r="F58" s="30">
        <v>0</v>
      </c>
      <c r="G58" s="2">
        <v>1</v>
      </c>
      <c r="H58" s="2">
        <v>0</v>
      </c>
      <c r="I58" s="2">
        <v>0</v>
      </c>
      <c r="J58" s="2">
        <v>0</v>
      </c>
      <c r="K58" s="2">
        <v>0</v>
      </c>
      <c r="L58" s="2">
        <v>0</v>
      </c>
      <c r="M58" s="2">
        <v>0</v>
      </c>
    </row>
    <row r="59" spans="2:13" x14ac:dyDescent="0.25">
      <c r="B59" s="12" t="s">
        <v>65</v>
      </c>
      <c r="C59" s="8">
        <f>C58/('Tabell 8'!C59*365)*100000</f>
        <v>0</v>
      </c>
      <c r="D59" s="8">
        <f>D58/('Tabell 8'!D59*365)*100000</f>
        <v>0</v>
      </c>
      <c r="E59" s="8">
        <f>E58/('Tabell 8'!E59*365)*100000</f>
        <v>12.832440409354847</v>
      </c>
      <c r="F59" s="8">
        <f>F58/('Tabell 8'!F59*365)*100000</f>
        <v>0</v>
      </c>
      <c r="G59" s="8">
        <f>G58/('Tabell 8'!G59*365)*100000</f>
        <v>7.206012696994371</v>
      </c>
      <c r="H59" s="8">
        <f>H58/('Tabell 8'!H59*365)*100000</f>
        <v>0</v>
      </c>
      <c r="I59" s="8">
        <f>I58/('Tabell 8'!I59*365)*100000</f>
        <v>0</v>
      </c>
      <c r="J59" s="8">
        <f>J58/('Tabell 8'!J59*365)*100000</f>
        <v>0</v>
      </c>
      <c r="K59" s="8">
        <f>K58/('Tabell 8'!K59*365)*100000</f>
        <v>0</v>
      </c>
      <c r="L59" s="8">
        <f>L58/('Tabell 8'!L59*365)*100000</f>
        <v>0</v>
      </c>
      <c r="M59" s="8">
        <f>M58/('[1]Tabell 8'!M59*365)*100000</f>
        <v>0</v>
      </c>
    </row>
    <row r="60" spans="2:13" x14ac:dyDescent="0.25">
      <c r="B60" s="2"/>
      <c r="C60" s="2"/>
      <c r="D60" s="2"/>
      <c r="E60" s="2"/>
      <c r="F60" s="2"/>
      <c r="G60" s="2"/>
      <c r="H60" s="2"/>
      <c r="I60" s="2"/>
      <c r="J60" s="2"/>
      <c r="K60" s="2"/>
      <c r="L60" s="2"/>
      <c r="M60" s="2"/>
    </row>
    <row r="61" spans="2:13" x14ac:dyDescent="0.25">
      <c r="B61" s="22" t="s">
        <v>63</v>
      </c>
      <c r="C61" s="2"/>
      <c r="D61" s="2"/>
      <c r="E61" s="2"/>
      <c r="F61" s="2"/>
      <c r="G61" s="2"/>
      <c r="H61" s="2"/>
      <c r="I61" s="2"/>
      <c r="J61" s="2"/>
      <c r="K61" s="2"/>
      <c r="L61" s="2"/>
      <c r="M61" s="2"/>
    </row>
    <row r="62" spans="2:13" x14ac:dyDescent="0.25">
      <c r="B62" s="11" t="s">
        <v>64</v>
      </c>
      <c r="C62" s="30">
        <v>0</v>
      </c>
      <c r="D62" s="30">
        <v>2</v>
      </c>
      <c r="E62" s="30">
        <v>0</v>
      </c>
      <c r="F62" s="30">
        <v>0</v>
      </c>
      <c r="G62" s="2">
        <v>0</v>
      </c>
      <c r="H62" s="2">
        <v>0</v>
      </c>
      <c r="I62" s="2">
        <v>0</v>
      </c>
      <c r="J62" s="2">
        <v>0</v>
      </c>
      <c r="K62" s="2">
        <v>0</v>
      </c>
      <c r="L62" s="2">
        <v>0</v>
      </c>
      <c r="M62" s="2">
        <v>0</v>
      </c>
    </row>
    <row r="63" spans="2:13" x14ac:dyDescent="0.25">
      <c r="B63" s="12" t="s">
        <v>66</v>
      </c>
      <c r="C63" s="8">
        <f>C62/(('Tabell 8'!C64+'Tabell 8'!C69)*365)*100000</f>
        <v>0</v>
      </c>
      <c r="D63" s="8">
        <f>D62/(('Tabell 8'!D64+'Tabell 8'!D69)*365)*100000</f>
        <v>5.3245088473370137</v>
      </c>
      <c r="E63" s="8">
        <f>E62/(('Tabell 8'!E64+'Tabell 8'!E69)*365)*100000</f>
        <v>0</v>
      </c>
      <c r="F63" s="8">
        <f>F62/(('Tabell 8'!F64+'Tabell 8'!F69)*365)*100000</f>
        <v>0</v>
      </c>
      <c r="G63" s="8">
        <f>G62/(('Tabell 8'!G64+'Tabell 8'!G69)*365)*100000</f>
        <v>0</v>
      </c>
      <c r="H63" s="8">
        <f>H62/(('Tabell 8'!H64+'Tabell 8'!H69)*365)*100000</f>
        <v>0</v>
      </c>
      <c r="I63" s="8">
        <f>I62/(('Tabell 8'!I64+'Tabell 8'!I69)*365)*100000</f>
        <v>0</v>
      </c>
      <c r="J63" s="8">
        <f>J62/(('Tabell 8'!J64+'Tabell 8'!J69)*365)*100000</f>
        <v>0</v>
      </c>
      <c r="K63" s="8">
        <f>K62/(('Tabell 8'!K64+'Tabell 8'!K69)*365)*100000</f>
        <v>0</v>
      </c>
      <c r="L63" s="8">
        <f>L62/(('Tabell 8'!L64+'Tabell 8'!L69)*365)*100000</f>
        <v>0</v>
      </c>
      <c r="M63" s="8">
        <f>M62/(('[1]Tabell 8'!M64+'[1]Tabell 8'!M69)*365)*100000</f>
        <v>0</v>
      </c>
    </row>
    <row r="64" spans="2:13" x14ac:dyDescent="0.25">
      <c r="B64" s="12"/>
    </row>
    <row r="65" spans="2:2" x14ac:dyDescent="0.25">
      <c r="B65" s="22"/>
    </row>
    <row r="66" spans="2:2" x14ac:dyDescent="0.25">
      <c r="B66" s="12"/>
    </row>
    <row r="67" spans="2:2" x14ac:dyDescent="0.25">
      <c r="B67" s="22"/>
    </row>
    <row r="68" spans="2:2" x14ac:dyDescent="0.25">
      <c r="B68" s="11"/>
    </row>
    <row r="69" spans="2:2" x14ac:dyDescent="0.25">
      <c r="B69" s="12"/>
    </row>
    <row r="70" spans="2:2" x14ac:dyDescent="0.25">
      <c r="B70" s="22"/>
    </row>
    <row r="71" spans="2:2" x14ac:dyDescent="0.25">
      <c r="B71" s="11"/>
    </row>
    <row r="72" spans="2:2" x14ac:dyDescent="0.25">
      <c r="B72" s="12"/>
    </row>
    <row r="73" spans="2:2" x14ac:dyDescent="0.25">
      <c r="B73" s="12"/>
    </row>
    <row r="74" spans="2:2" x14ac:dyDescent="0.25">
      <c r="B74" s="7"/>
    </row>
    <row r="75" spans="2:2" x14ac:dyDescent="0.25">
      <c r="B75" s="6"/>
    </row>
    <row r="76" spans="2:2" x14ac:dyDescent="0.25">
      <c r="B76" s="6"/>
    </row>
    <row r="77" spans="2:2" x14ac:dyDescent="0.25">
      <c r="B77" s="6"/>
    </row>
    <row r="78" spans="2:2" x14ac:dyDescent="0.25">
      <c r="B78" s="6"/>
    </row>
    <row r="79" spans="2:2" x14ac:dyDescent="0.25">
      <c r="B79" s="7"/>
    </row>
    <row r="82" spans="2:13" ht="18.75" x14ac:dyDescent="0.3">
      <c r="B82" s="15" t="s">
        <v>116</v>
      </c>
      <c r="C82" s="16">
        <v>2014</v>
      </c>
      <c r="D82" s="16">
        <v>2015</v>
      </c>
      <c r="E82" s="16">
        <v>2016</v>
      </c>
      <c r="F82" s="16">
        <v>2017</v>
      </c>
      <c r="G82" s="16">
        <v>2018</v>
      </c>
      <c r="H82" s="16">
        <v>2019</v>
      </c>
      <c r="I82" s="16">
        <v>2020</v>
      </c>
      <c r="J82" s="16">
        <v>2021</v>
      </c>
      <c r="K82" s="16">
        <v>2022</v>
      </c>
      <c r="L82" s="16">
        <v>2023</v>
      </c>
      <c r="M82" s="16">
        <v>2024</v>
      </c>
    </row>
    <row r="83" spans="2:13" x14ac:dyDescent="0.25">
      <c r="B83" s="22" t="s">
        <v>62</v>
      </c>
    </row>
    <row r="84" spans="2:13" x14ac:dyDescent="0.25">
      <c r="B84" s="11" t="s">
        <v>64</v>
      </c>
      <c r="C84" s="30">
        <v>73</v>
      </c>
      <c r="D84" s="30">
        <v>71</v>
      </c>
      <c r="E84" s="30">
        <v>49</v>
      </c>
      <c r="F84" s="30">
        <v>36</v>
      </c>
      <c r="G84" s="2">
        <v>25</v>
      </c>
      <c r="H84" s="2">
        <v>18</v>
      </c>
      <c r="I84" s="2">
        <v>9</v>
      </c>
      <c r="J84" s="2">
        <v>14</v>
      </c>
      <c r="K84" s="2">
        <v>18</v>
      </c>
      <c r="L84" s="2">
        <v>16</v>
      </c>
      <c r="M84" s="2">
        <v>13</v>
      </c>
    </row>
    <row r="85" spans="2:13" x14ac:dyDescent="0.25">
      <c r="B85" s="12" t="s">
        <v>65</v>
      </c>
      <c r="C85" s="8">
        <f>C84/('Tabell 8'!C86*365)*100000</f>
        <v>14.962971769176686</v>
      </c>
      <c r="D85" s="8">
        <f>D84/('Tabell 8'!D86*365)*100000</f>
        <v>14.398264096610324</v>
      </c>
      <c r="E85" s="8">
        <f>E84/('Tabell 8'!E86*365)*100000</f>
        <v>10.2713523597908</v>
      </c>
      <c r="F85" s="8">
        <f>F84/('Tabell 8'!F86*365)*100000</f>
        <v>7.9927177460535956</v>
      </c>
      <c r="G85" s="8">
        <f>G84/('Tabell 8'!G86*365)*100000</f>
        <v>6.1895129843603405</v>
      </c>
      <c r="H85" s="8">
        <f>H84/('Tabell 8'!H86*365)*100000</f>
        <v>4.7509699897062321</v>
      </c>
      <c r="I85" s="8">
        <f>I84/('Tabell 8'!I86*365)*100000</f>
        <v>2.9754475982352293</v>
      </c>
      <c r="J85" s="8">
        <f>J84/('Tabell 8'!J86*365)*100000</f>
        <v>4.4189129474149356</v>
      </c>
      <c r="K85" s="8">
        <f>K84/('Tabell 8'!K86*365)*100000</f>
        <v>5.407354001441961</v>
      </c>
      <c r="L85" s="8">
        <f>L84/('Tabell 8'!L86*365)*100000</f>
        <v>4.6534624669167908</v>
      </c>
      <c r="M85" s="8">
        <f>M84/('Tabell 8'!M86*365)*100000</f>
        <v>3.7061850526705911</v>
      </c>
    </row>
    <row r="86" spans="2:13" x14ac:dyDescent="0.25">
      <c r="B86" s="2"/>
      <c r="C86" s="2"/>
      <c r="D86" s="2"/>
      <c r="E86" s="2"/>
      <c r="F86" s="2"/>
      <c r="G86" s="2"/>
      <c r="H86" s="2"/>
      <c r="I86" s="2"/>
      <c r="J86" s="2"/>
      <c r="K86" s="2"/>
      <c r="L86" s="2"/>
      <c r="M86" s="2"/>
    </row>
    <row r="87" spans="2:13" x14ac:dyDescent="0.25">
      <c r="B87" s="22" t="s">
        <v>63</v>
      </c>
      <c r="C87" s="2"/>
      <c r="D87" s="2"/>
      <c r="E87" s="2"/>
      <c r="F87" s="2"/>
      <c r="G87" s="2"/>
      <c r="H87" s="2"/>
      <c r="I87" s="2"/>
      <c r="J87" s="2"/>
      <c r="K87" s="2"/>
      <c r="L87" s="2"/>
      <c r="M87" s="2"/>
    </row>
    <row r="88" spans="2:13" x14ac:dyDescent="0.25">
      <c r="B88" s="11" t="s">
        <v>64</v>
      </c>
      <c r="C88" s="30">
        <v>3</v>
      </c>
      <c r="D88" s="30">
        <v>3</v>
      </c>
      <c r="E88" s="30">
        <v>1</v>
      </c>
      <c r="F88" s="30">
        <v>2</v>
      </c>
      <c r="G88" s="2">
        <v>0</v>
      </c>
      <c r="H88" s="2">
        <v>1</v>
      </c>
      <c r="I88" s="2">
        <v>0</v>
      </c>
      <c r="J88" s="2">
        <v>1</v>
      </c>
      <c r="K88" s="2">
        <v>1</v>
      </c>
      <c r="L88" s="2">
        <v>0</v>
      </c>
      <c r="M88" s="2">
        <v>3</v>
      </c>
    </row>
    <row r="89" spans="2:13" x14ac:dyDescent="0.25">
      <c r="B89" s="12" t="s">
        <v>66</v>
      </c>
      <c r="C89" s="8">
        <f>C88/(('Tabell 8'!C91+'Tabell 8'!C96)*365)*100000</f>
        <v>0.34549435059154393</v>
      </c>
      <c r="D89" s="8">
        <f>D88/(('Tabell 8'!D91+'Tabell 8'!D96)*365)*100000</f>
        <v>0.34332406358361656</v>
      </c>
      <c r="E89" s="8">
        <f>E88/(('Tabell 8'!E91+'Tabell 8'!E96)*365)*100000</f>
        <v>0.10773598220201575</v>
      </c>
      <c r="F89" s="8">
        <f>F88/(('Tabell 8'!F91+'Tabell 8'!F96)*365)*100000</f>
        <v>0.22670467748425818</v>
      </c>
      <c r="G89" s="8">
        <f>G88/(('Tabell 8'!G91+'Tabell 8'!G96)*365)*100000</f>
        <v>0</v>
      </c>
      <c r="H89" s="8">
        <f>H88/(('Tabell 8'!H91+'Tabell 8'!H96)*365)*100000</f>
        <v>0.12414926714687602</v>
      </c>
      <c r="I89" s="8">
        <f>I88/(('Tabell 8'!I91+'Tabell 8'!I96)*365)*100000</f>
        <v>0</v>
      </c>
      <c r="J89" s="8">
        <f>J88/(('Tabell 8'!J91+'Tabell 8'!J96)*365)*100000</f>
        <v>0.12441989225237332</v>
      </c>
      <c r="K89" s="8">
        <f>K88/(('Tabell 8'!K91+'Tabell 8'!K96)*365)*100000</f>
        <v>0.12672183290459113</v>
      </c>
      <c r="L89" s="8">
        <f>L88/(('Tabell 8'!L91+'Tabell 8'!L96)*365)*100000</f>
        <v>0</v>
      </c>
      <c r="M89" s="8">
        <f>M88/(('Tabell 8'!M91+'Tabell 8'!M96)*365)*100000</f>
        <v>0.3966784788702597</v>
      </c>
    </row>
    <row r="90" spans="2:13" x14ac:dyDescent="0.25">
      <c r="B90" s="12"/>
    </row>
    <row r="91" spans="2:13" x14ac:dyDescent="0.25">
      <c r="B91" s="22"/>
    </row>
    <row r="92" spans="2:13" x14ac:dyDescent="0.25">
      <c r="B92" s="12"/>
    </row>
    <row r="93" spans="2:13" x14ac:dyDescent="0.25">
      <c r="B93" s="22"/>
    </row>
    <row r="94" spans="2:13" x14ac:dyDescent="0.25">
      <c r="B94" s="11"/>
    </row>
    <row r="95" spans="2:13" x14ac:dyDescent="0.25">
      <c r="B95" s="12"/>
    </row>
    <row r="96" spans="2:13" x14ac:dyDescent="0.25">
      <c r="B96" s="22"/>
    </row>
    <row r="97" spans="2:13" x14ac:dyDescent="0.25">
      <c r="B97" s="11"/>
    </row>
    <row r="98" spans="2:13" x14ac:dyDescent="0.25">
      <c r="B98" s="12"/>
    </row>
    <row r="99" spans="2:13" x14ac:dyDescent="0.25">
      <c r="B99" s="12"/>
    </row>
    <row r="100" spans="2:13" x14ac:dyDescent="0.25">
      <c r="B100" s="7"/>
    </row>
    <row r="101" spans="2:13" x14ac:dyDescent="0.25">
      <c r="B101" s="6"/>
    </row>
    <row r="102" spans="2:13" x14ac:dyDescent="0.25">
      <c r="B102" s="6"/>
    </row>
    <row r="103" spans="2:13" x14ac:dyDescent="0.25">
      <c r="B103" s="6"/>
    </row>
    <row r="104" spans="2:13" x14ac:dyDescent="0.25">
      <c r="B104" s="6"/>
    </row>
    <row r="105" spans="2:13" x14ac:dyDescent="0.25">
      <c r="B105" s="7"/>
    </row>
    <row r="108" spans="2:13" ht="18.75" x14ac:dyDescent="0.3">
      <c r="B108" s="15" t="s">
        <v>117</v>
      </c>
      <c r="C108" s="16">
        <v>2014</v>
      </c>
      <c r="D108" s="16">
        <v>2015</v>
      </c>
      <c r="E108" s="16">
        <v>2016</v>
      </c>
      <c r="F108" s="16">
        <v>2017</v>
      </c>
      <c r="G108" s="16">
        <v>2018</v>
      </c>
      <c r="H108" s="16">
        <v>2019</v>
      </c>
      <c r="I108" s="16">
        <v>2020</v>
      </c>
      <c r="J108" s="16">
        <v>2021</v>
      </c>
      <c r="K108" s="16">
        <v>2022</v>
      </c>
      <c r="L108" s="16">
        <v>2023</v>
      </c>
      <c r="M108" s="16">
        <v>2024</v>
      </c>
    </row>
    <row r="109" spans="2:13" x14ac:dyDescent="0.25">
      <c r="B109" s="22" t="s">
        <v>62</v>
      </c>
      <c r="C109" s="10"/>
      <c r="D109" s="10"/>
      <c r="E109" s="10"/>
      <c r="F109" s="10"/>
      <c r="G109" s="10"/>
      <c r="H109" s="10"/>
      <c r="I109" s="10"/>
      <c r="J109" s="10"/>
      <c r="K109" s="10"/>
      <c r="L109" s="10"/>
      <c r="M109" s="10"/>
    </row>
    <row r="110" spans="2:13" x14ac:dyDescent="0.25">
      <c r="B110" s="11" t="s">
        <v>64</v>
      </c>
      <c r="C110" s="2">
        <v>13</v>
      </c>
      <c r="D110" s="2">
        <v>13</v>
      </c>
      <c r="E110" s="2">
        <v>15</v>
      </c>
      <c r="F110" s="2">
        <v>24</v>
      </c>
      <c r="G110" s="2">
        <v>31</v>
      </c>
      <c r="H110" s="2">
        <v>28</v>
      </c>
      <c r="I110" s="2">
        <v>46</v>
      </c>
      <c r="J110" s="2">
        <v>62</v>
      </c>
      <c r="K110" s="2">
        <v>93</v>
      </c>
      <c r="L110" s="2">
        <v>74</v>
      </c>
      <c r="M110" s="2">
        <v>82</v>
      </c>
    </row>
    <row r="111" spans="2:13" x14ac:dyDescent="0.25">
      <c r="B111" s="12" t="s">
        <v>65</v>
      </c>
      <c r="C111" s="8">
        <f>100000*C110/('Tabell 8'!C112*365)</f>
        <v>4.8065368901706318</v>
      </c>
      <c r="D111" s="8">
        <f>100000*D110/('Tabell 8'!D112*365)</f>
        <v>5.3964300539643002</v>
      </c>
      <c r="E111" s="8">
        <f>100000*E110/('Tabell 8'!E112*365)</f>
        <v>6.0613407685780096</v>
      </c>
      <c r="F111" s="8">
        <f>100000*F110/('Tabell 8'!F112*365)</f>
        <v>9.7847358121330732</v>
      </c>
      <c r="G111" s="8">
        <f>100000*G110/('Tabell 8'!G112*365)</f>
        <v>11.698554662440092</v>
      </c>
      <c r="H111" s="8">
        <f>100000*H110/('Tabell 8'!H112*365)</f>
        <v>9.3437672067141637</v>
      </c>
      <c r="I111" s="8">
        <f>100000*I110/('Tabell 8'!I112*365)</f>
        <v>14.353917683402502</v>
      </c>
      <c r="J111" s="8">
        <f>100000*J110/('Tabell 8'!J112*365)</f>
        <v>15.275450872178968</v>
      </c>
      <c r="K111" s="8">
        <f>100000*K110/('Tabell 8'!K112*365)</f>
        <v>19.999569901722545</v>
      </c>
      <c r="L111" s="8">
        <f>100000*L110/('Tabell 8'!L112*365)</f>
        <v>15.028889994618032</v>
      </c>
      <c r="M111" s="8">
        <f>100000*M110/('Tabell 8'!M112*365)</f>
        <v>14.102795621253945</v>
      </c>
    </row>
    <row r="112" spans="2:13" x14ac:dyDescent="0.25">
      <c r="B112" s="2"/>
      <c r="C112" s="2"/>
      <c r="D112" s="2"/>
      <c r="E112" s="2"/>
      <c r="F112" s="2"/>
      <c r="G112" s="8"/>
      <c r="H112" s="8"/>
      <c r="I112" s="8"/>
      <c r="J112" s="8"/>
      <c r="K112" s="8"/>
      <c r="L112" s="8"/>
      <c r="M112" s="8"/>
    </row>
    <row r="113" spans="2:13" x14ac:dyDescent="0.25">
      <c r="B113" s="22" t="s">
        <v>63</v>
      </c>
      <c r="C113" s="2"/>
      <c r="D113" s="2"/>
      <c r="E113" s="2"/>
      <c r="F113" s="2"/>
      <c r="G113" s="18"/>
      <c r="H113" s="18"/>
      <c r="I113" s="18"/>
      <c r="J113" s="18"/>
      <c r="K113" s="18"/>
      <c r="L113" s="18"/>
      <c r="M113" s="18"/>
    </row>
    <row r="114" spans="2:13" x14ac:dyDescent="0.25">
      <c r="B114" s="11" t="s">
        <v>64</v>
      </c>
      <c r="C114" s="2">
        <v>6</v>
      </c>
      <c r="D114" s="2">
        <v>0</v>
      </c>
      <c r="E114" s="2">
        <v>0</v>
      </c>
      <c r="F114" s="2">
        <v>2</v>
      </c>
      <c r="G114" s="70">
        <v>1</v>
      </c>
      <c r="H114" s="70">
        <v>0</v>
      </c>
      <c r="I114" s="70">
        <v>0</v>
      </c>
      <c r="J114" s="70">
        <v>0</v>
      </c>
      <c r="K114" s="70">
        <v>0</v>
      </c>
      <c r="L114" s="70">
        <v>0</v>
      </c>
      <c r="M114" s="70">
        <v>0</v>
      </c>
    </row>
    <row r="115" spans="2:13" x14ac:dyDescent="0.25">
      <c r="B115" s="12" t="s">
        <v>66</v>
      </c>
      <c r="C115" s="8">
        <f>C114/(('Tabell 8'!C117+'Tabell 8'!C122)*365)*100000</f>
        <v>0.34672761367609284</v>
      </c>
      <c r="D115" s="8">
        <f>D114/(('Tabell 8'!D117+'Tabell 8'!D122)*365)*100000</f>
        <v>0</v>
      </c>
      <c r="E115" s="8">
        <f>E114/(('Tabell 8'!E117+'Tabell 8'!E122)*365)*100000</f>
        <v>0</v>
      </c>
      <c r="F115" s="8">
        <f>F114/(('Tabell 8'!F117+'Tabell 8'!F122)*365)*100000</f>
        <v>0.1145576348339066</v>
      </c>
      <c r="G115" s="8">
        <f>G114/(('Tabell 8'!G117+'Tabell 8'!G122)*365)*100000</f>
        <v>5.347653779739072E-2</v>
      </c>
      <c r="H115" s="8">
        <f>H114/(('Tabell 8'!H117+'Tabell 8'!H122)*365)*100000</f>
        <v>0</v>
      </c>
      <c r="I115" s="8">
        <f>I114/(('Tabell 8'!I117+'Tabell 8'!I122)*365)*100000</f>
        <v>0</v>
      </c>
      <c r="J115" s="8">
        <f>J114/(('Tabell 8'!J117+'Tabell 8'!J122)*365)*100000</f>
        <v>0</v>
      </c>
      <c r="K115" s="8">
        <f>K114/(('Tabell 8'!K117+'Tabell 8'!K122)*365)*100000</f>
        <v>0</v>
      </c>
      <c r="L115" s="8">
        <f>L114/(('Tabell 8'!L117+'Tabell 8'!L122)*365)*100000</f>
        <v>0</v>
      </c>
      <c r="M115" s="8">
        <f>M114/(('Tabell 8'!M117+'Tabell 8'!M122)*365)*100000</f>
        <v>0</v>
      </c>
    </row>
    <row r="116" spans="2:13" x14ac:dyDescent="0.25">
      <c r="B116" s="12"/>
      <c r="C116" s="24"/>
      <c r="D116" s="24"/>
      <c r="E116" s="24"/>
      <c r="F116" s="24"/>
      <c r="G116" s="2"/>
      <c r="H116" s="2"/>
    </row>
    <row r="117" spans="2:13" x14ac:dyDescent="0.25">
      <c r="B117" s="22"/>
      <c r="C117" s="2"/>
      <c r="D117" s="2"/>
      <c r="E117" s="2"/>
      <c r="F117" s="2"/>
      <c r="G117" s="19"/>
      <c r="H117" s="19"/>
    </row>
    <row r="118" spans="2:13" x14ac:dyDescent="0.25">
      <c r="B118" s="12"/>
      <c r="C118" s="8"/>
      <c r="D118" s="8"/>
      <c r="E118" s="8"/>
      <c r="F118" s="8"/>
      <c r="G118" s="19"/>
      <c r="H118" s="19"/>
    </row>
    <row r="119" spans="2:13" x14ac:dyDescent="0.25">
      <c r="B119" s="22"/>
      <c r="C119" s="2"/>
      <c r="D119" s="2"/>
      <c r="E119" s="2"/>
      <c r="F119" s="2"/>
      <c r="G119" s="19"/>
      <c r="H119" s="19"/>
    </row>
    <row r="120" spans="2:13" x14ac:dyDescent="0.25">
      <c r="B120" s="11"/>
      <c r="C120" s="2"/>
      <c r="D120" s="2"/>
      <c r="E120" s="2"/>
      <c r="F120" s="25"/>
      <c r="G120" s="8"/>
      <c r="H120" s="8"/>
    </row>
    <row r="121" spans="2:13" x14ac:dyDescent="0.25">
      <c r="B121" s="12"/>
      <c r="C121" s="8"/>
      <c r="D121" s="8"/>
      <c r="E121" s="8"/>
      <c r="F121" s="8"/>
      <c r="G121" s="8"/>
      <c r="H121" s="8"/>
    </row>
    <row r="122" spans="2:13" x14ac:dyDescent="0.25">
      <c r="B122" s="22"/>
      <c r="C122" s="2"/>
      <c r="D122" s="2"/>
      <c r="E122" s="2"/>
      <c r="F122" s="2"/>
      <c r="G122" s="19"/>
      <c r="H122" s="19"/>
    </row>
    <row r="123" spans="2:13" x14ac:dyDescent="0.25">
      <c r="B123" s="11"/>
      <c r="C123" s="23"/>
      <c r="D123" s="23"/>
      <c r="E123" s="23"/>
      <c r="F123" s="23"/>
      <c r="G123" s="19"/>
      <c r="H123" s="19"/>
    </row>
    <row r="124" spans="2:13" x14ac:dyDescent="0.25">
      <c r="B124" s="12"/>
      <c r="C124" s="8"/>
      <c r="D124" s="8"/>
      <c r="E124" s="8"/>
      <c r="F124" s="8"/>
      <c r="G124" s="8"/>
      <c r="H124" s="8"/>
    </row>
    <row r="125" spans="2:13" x14ac:dyDescent="0.25">
      <c r="B125" s="12"/>
      <c r="C125" s="8"/>
      <c r="D125" s="8"/>
      <c r="E125" s="8"/>
      <c r="F125" s="8"/>
      <c r="G125" s="8"/>
      <c r="H125" s="8"/>
    </row>
    <row r="126" spans="2:13" x14ac:dyDescent="0.25">
      <c r="B126" s="7"/>
    </row>
    <row r="127" spans="2:13" x14ac:dyDescent="0.25">
      <c r="B127" s="6"/>
    </row>
    <row r="128" spans="2:13" x14ac:dyDescent="0.25">
      <c r="B128" s="6"/>
    </row>
    <row r="129" spans="2:2" x14ac:dyDescent="0.25">
      <c r="B129" s="6"/>
    </row>
    <row r="130" spans="2:2" x14ac:dyDescent="0.25">
      <c r="B130" s="6"/>
    </row>
    <row r="131" spans="2:2" x14ac:dyDescent="0.25">
      <c r="B131" s="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55"/>
  <sheetViews>
    <sheetView zoomScaleNormal="100" workbookViewId="0">
      <pane ySplit="2" topLeftCell="A3" activePane="bottomLeft" state="frozen"/>
      <selection activeCell="K42" sqref="K42"/>
      <selection pane="bottomLeft" activeCell="B1" sqref="B1"/>
    </sheetView>
  </sheetViews>
  <sheetFormatPr defaultColWidth="9" defaultRowHeight="15" x14ac:dyDescent="0.25"/>
  <cols>
    <col min="1" max="1" width="1.625" style="1" customWidth="1"/>
    <col min="2" max="2" width="44" style="1" customWidth="1"/>
    <col min="3" max="10" width="10" style="1" customWidth="1"/>
    <col min="11" max="16384" width="9" style="1"/>
  </cols>
  <sheetData>
    <row r="2" spans="2:13" ht="18.75" x14ac:dyDescent="0.3">
      <c r="B2" s="4" t="s">
        <v>9</v>
      </c>
    </row>
    <row r="3" spans="2:13" ht="18.75" x14ac:dyDescent="0.3">
      <c r="B3" s="4"/>
    </row>
    <row r="4" spans="2:13" ht="18.75" x14ac:dyDescent="0.3">
      <c r="B4" s="15" t="s">
        <v>414</v>
      </c>
      <c r="C4" s="16">
        <v>2014</v>
      </c>
      <c r="D4" s="16">
        <v>2015</v>
      </c>
      <c r="E4" s="16">
        <v>2016</v>
      </c>
      <c r="F4" s="16">
        <v>2017</v>
      </c>
      <c r="G4" s="16">
        <v>2018</v>
      </c>
      <c r="H4" s="16">
        <v>2019</v>
      </c>
      <c r="I4" s="101">
        <v>2020</v>
      </c>
      <c r="J4" s="16">
        <v>2021</v>
      </c>
      <c r="K4" s="101">
        <v>2022</v>
      </c>
      <c r="L4" s="16">
        <v>2023</v>
      </c>
      <c r="M4" s="16">
        <v>2024</v>
      </c>
    </row>
    <row r="5" spans="2:13" x14ac:dyDescent="0.25">
      <c r="B5" s="2" t="s">
        <v>67</v>
      </c>
      <c r="C5" s="23">
        <v>1</v>
      </c>
      <c r="D5" s="25">
        <v>1</v>
      </c>
      <c r="E5" s="23">
        <v>8</v>
      </c>
      <c r="F5" s="23">
        <v>3</v>
      </c>
      <c r="G5" s="2">
        <v>4</v>
      </c>
      <c r="H5" s="2">
        <v>9</v>
      </c>
      <c r="I5" s="19">
        <v>4</v>
      </c>
      <c r="J5" s="2">
        <v>5</v>
      </c>
      <c r="K5" s="19">
        <v>1</v>
      </c>
      <c r="L5" s="2">
        <v>3</v>
      </c>
      <c r="M5" s="2">
        <v>8</v>
      </c>
    </row>
    <row r="6" spans="2:13" x14ac:dyDescent="0.25">
      <c r="B6" s="2" t="s">
        <v>68</v>
      </c>
      <c r="C6" s="88">
        <v>1</v>
      </c>
      <c r="D6" s="88">
        <v>2</v>
      </c>
      <c r="E6" s="88">
        <v>3</v>
      </c>
      <c r="F6" s="88">
        <v>5</v>
      </c>
      <c r="G6" s="19">
        <v>2</v>
      </c>
      <c r="H6" s="19">
        <v>1</v>
      </c>
      <c r="I6" s="19">
        <v>0</v>
      </c>
      <c r="J6" s="2">
        <v>4</v>
      </c>
      <c r="K6" s="19">
        <v>4</v>
      </c>
      <c r="L6" s="2">
        <v>7</v>
      </c>
      <c r="M6" s="2">
        <v>5</v>
      </c>
    </row>
    <row r="7" spans="2:13" x14ac:dyDescent="0.25">
      <c r="B7" s="12"/>
    </row>
    <row r="8" spans="2:13" x14ac:dyDescent="0.25">
      <c r="B8" s="89" t="s">
        <v>411</v>
      </c>
    </row>
    <row r="11" spans="2:13" ht="18.75" x14ac:dyDescent="0.3">
      <c r="B11" s="15" t="s">
        <v>118</v>
      </c>
      <c r="C11" s="16">
        <v>2014</v>
      </c>
      <c r="D11" s="16">
        <v>2015</v>
      </c>
      <c r="E11" s="16">
        <v>2016</v>
      </c>
      <c r="F11" s="16">
        <v>2017</v>
      </c>
      <c r="G11" s="16">
        <v>2018</v>
      </c>
      <c r="H11" s="16">
        <v>2019</v>
      </c>
      <c r="I11" s="16">
        <v>2020</v>
      </c>
      <c r="J11" s="16">
        <v>2021</v>
      </c>
      <c r="K11" s="16">
        <v>2022</v>
      </c>
      <c r="L11" s="16">
        <v>2023</v>
      </c>
      <c r="M11" s="16">
        <v>2024</v>
      </c>
    </row>
    <row r="12" spans="2:13" x14ac:dyDescent="0.25">
      <c r="B12" s="2" t="s">
        <v>67</v>
      </c>
      <c r="C12" s="2">
        <v>2</v>
      </c>
      <c r="D12" s="2">
        <v>2</v>
      </c>
      <c r="E12" s="2">
        <v>2</v>
      </c>
      <c r="F12" s="23">
        <v>2</v>
      </c>
      <c r="G12" s="2">
        <v>2</v>
      </c>
      <c r="H12" s="2">
        <v>1</v>
      </c>
      <c r="I12" s="2">
        <v>4</v>
      </c>
      <c r="J12" s="2">
        <v>5</v>
      </c>
      <c r="K12" s="2">
        <v>4</v>
      </c>
      <c r="L12" s="2">
        <v>1</v>
      </c>
      <c r="M12" s="2">
        <v>1</v>
      </c>
    </row>
    <row r="13" spans="2:13" x14ac:dyDescent="0.25">
      <c r="B13" s="2" t="s">
        <v>68</v>
      </c>
      <c r="C13" s="2">
        <v>7</v>
      </c>
      <c r="D13" s="2">
        <v>1</v>
      </c>
      <c r="E13" s="2">
        <v>2</v>
      </c>
      <c r="F13" s="2">
        <v>0</v>
      </c>
      <c r="G13" s="2">
        <v>4</v>
      </c>
      <c r="H13" s="2">
        <v>5</v>
      </c>
      <c r="I13" s="2">
        <v>0</v>
      </c>
      <c r="J13" s="2">
        <v>1</v>
      </c>
      <c r="K13" s="2">
        <v>2</v>
      </c>
      <c r="L13" s="2">
        <v>4</v>
      </c>
      <c r="M13" s="2">
        <v>3</v>
      </c>
    </row>
    <row r="14" spans="2:13" x14ac:dyDescent="0.25">
      <c r="B14" s="12"/>
    </row>
    <row r="15" spans="2:13" x14ac:dyDescent="0.25">
      <c r="B15" s="27"/>
    </row>
    <row r="18" spans="2:14" ht="18.75" x14ac:dyDescent="0.3">
      <c r="B18" s="15" t="s">
        <v>119</v>
      </c>
      <c r="C18" s="16">
        <v>2014</v>
      </c>
      <c r="D18" s="16">
        <v>2015</v>
      </c>
      <c r="E18" s="16">
        <v>2016</v>
      </c>
      <c r="F18" s="16">
        <v>2017</v>
      </c>
      <c r="G18" s="16">
        <v>2018</v>
      </c>
      <c r="H18" s="16">
        <v>2019</v>
      </c>
      <c r="I18" s="16">
        <v>2020</v>
      </c>
      <c r="J18" s="16">
        <v>2021</v>
      </c>
      <c r="K18" s="16">
        <v>2022</v>
      </c>
      <c r="L18" s="16">
        <v>2023</v>
      </c>
      <c r="M18" s="16">
        <v>2024</v>
      </c>
    </row>
    <row r="19" spans="2:14" x14ac:dyDescent="0.25">
      <c r="B19" s="2" t="s">
        <v>410</v>
      </c>
      <c r="C19" s="23">
        <v>0</v>
      </c>
      <c r="D19" s="23">
        <v>0</v>
      </c>
      <c r="E19" s="23">
        <v>0</v>
      </c>
      <c r="F19" s="23">
        <v>0</v>
      </c>
      <c r="G19" s="1">
        <v>1</v>
      </c>
      <c r="H19" s="2">
        <v>1</v>
      </c>
      <c r="I19" s="2">
        <v>0</v>
      </c>
      <c r="J19" s="2">
        <v>0</v>
      </c>
      <c r="K19" s="2">
        <v>0</v>
      </c>
      <c r="L19" s="2">
        <v>1</v>
      </c>
      <c r="M19" s="2">
        <v>1</v>
      </c>
      <c r="N19" s="123"/>
    </row>
    <row r="20" spans="2:14" x14ac:dyDescent="0.25">
      <c r="B20" s="2" t="s">
        <v>68</v>
      </c>
      <c r="C20" s="69">
        <v>0</v>
      </c>
      <c r="D20" s="69">
        <v>0</v>
      </c>
      <c r="E20" s="69">
        <v>0</v>
      </c>
      <c r="F20" s="69">
        <v>0</v>
      </c>
      <c r="G20" s="2">
        <v>0</v>
      </c>
      <c r="H20" s="2">
        <v>1</v>
      </c>
      <c r="I20" s="2">
        <v>0</v>
      </c>
      <c r="J20" s="2">
        <v>1</v>
      </c>
      <c r="K20" s="2">
        <v>0</v>
      </c>
      <c r="L20" s="2">
        <v>0</v>
      </c>
      <c r="M20" s="2">
        <v>2</v>
      </c>
      <c r="N20" s="123"/>
    </row>
    <row r="21" spans="2:14" x14ac:dyDescent="0.25">
      <c r="B21" s="12"/>
    </row>
    <row r="22" spans="2:14" x14ac:dyDescent="0.25">
      <c r="B22" s="89" t="s">
        <v>409</v>
      </c>
    </row>
    <row r="25" spans="2:14" ht="18.75" x14ac:dyDescent="0.3">
      <c r="B25" s="15" t="s">
        <v>413</v>
      </c>
      <c r="C25" s="16">
        <v>2014</v>
      </c>
      <c r="D25" s="16">
        <v>2015</v>
      </c>
      <c r="E25" s="16">
        <v>2016</v>
      </c>
      <c r="F25" s="16">
        <v>2017</v>
      </c>
      <c r="G25" s="16">
        <v>2018</v>
      </c>
      <c r="H25" s="16">
        <v>2019</v>
      </c>
      <c r="I25" s="16">
        <v>2020</v>
      </c>
      <c r="J25" s="16">
        <v>2021</v>
      </c>
      <c r="K25" s="16">
        <v>2022</v>
      </c>
      <c r="L25" s="16">
        <v>2023</v>
      </c>
      <c r="M25" s="16">
        <v>2024</v>
      </c>
    </row>
    <row r="26" spans="2:14" x14ac:dyDescent="0.25">
      <c r="B26" s="2" t="s">
        <v>67</v>
      </c>
      <c r="C26" s="162" t="s">
        <v>221</v>
      </c>
      <c r="D26" s="19" t="s">
        <v>221</v>
      </c>
      <c r="E26" s="19" t="s">
        <v>221</v>
      </c>
      <c r="F26" s="19" t="s">
        <v>221</v>
      </c>
      <c r="G26" s="19" t="s">
        <v>221</v>
      </c>
      <c r="H26" s="19" t="s">
        <v>221</v>
      </c>
      <c r="I26" s="19" t="s">
        <v>221</v>
      </c>
      <c r="J26" s="19" t="s">
        <v>221</v>
      </c>
      <c r="K26" s="19" t="s">
        <v>221</v>
      </c>
      <c r="L26" s="19" t="s">
        <v>221</v>
      </c>
      <c r="M26" s="19" t="s">
        <v>221</v>
      </c>
    </row>
    <row r="27" spans="2:14" x14ac:dyDescent="0.25">
      <c r="B27" s="2" t="s">
        <v>68</v>
      </c>
      <c r="C27" s="2">
        <v>0</v>
      </c>
      <c r="D27" s="2">
        <v>0</v>
      </c>
      <c r="E27" s="2">
        <v>6</v>
      </c>
      <c r="F27" s="2">
        <v>5</v>
      </c>
      <c r="G27" s="2">
        <v>4</v>
      </c>
      <c r="H27" s="2">
        <v>8</v>
      </c>
      <c r="I27" s="2">
        <v>2</v>
      </c>
      <c r="J27" s="2">
        <v>7</v>
      </c>
      <c r="K27" s="2">
        <v>4</v>
      </c>
      <c r="L27" s="2">
        <v>8</v>
      </c>
      <c r="M27" s="2">
        <v>5</v>
      </c>
    </row>
    <row r="28" spans="2:14" x14ac:dyDescent="0.25">
      <c r="B28" s="12"/>
    </row>
    <row r="29" spans="2:14" x14ac:dyDescent="0.25">
      <c r="B29" s="14" t="s">
        <v>412</v>
      </c>
    </row>
    <row r="32" spans="2:14" ht="18.75" x14ac:dyDescent="0.3">
      <c r="B32" s="15" t="s">
        <v>120</v>
      </c>
      <c r="C32" s="16">
        <v>2014</v>
      </c>
      <c r="D32" s="16">
        <v>2015</v>
      </c>
      <c r="E32" s="16">
        <v>2016</v>
      </c>
      <c r="F32" s="16">
        <v>2017</v>
      </c>
      <c r="G32" s="16">
        <v>2018</v>
      </c>
      <c r="H32" s="16">
        <v>2019</v>
      </c>
      <c r="I32" s="16">
        <v>2020</v>
      </c>
      <c r="J32" s="16">
        <v>2021</v>
      </c>
      <c r="K32" s="16">
        <v>2022</v>
      </c>
      <c r="L32" s="16">
        <v>2023</v>
      </c>
      <c r="M32" s="16">
        <v>2024</v>
      </c>
    </row>
    <row r="33" spans="2:13" x14ac:dyDescent="0.25">
      <c r="B33" s="2" t="s">
        <v>67</v>
      </c>
      <c r="C33" s="2">
        <v>4</v>
      </c>
      <c r="D33" s="2">
        <v>1</v>
      </c>
      <c r="E33" s="2">
        <v>1</v>
      </c>
      <c r="F33" s="2">
        <v>1</v>
      </c>
      <c r="G33" s="10">
        <v>2</v>
      </c>
      <c r="H33" s="2">
        <v>1</v>
      </c>
      <c r="I33" s="10">
        <v>2</v>
      </c>
      <c r="J33" s="2">
        <v>2</v>
      </c>
      <c r="K33" s="10">
        <v>6</v>
      </c>
      <c r="L33" s="2">
        <v>5</v>
      </c>
      <c r="M33" s="2">
        <v>2</v>
      </c>
    </row>
    <row r="34" spans="2:13" x14ac:dyDescent="0.25">
      <c r="B34" s="2" t="s">
        <v>68</v>
      </c>
      <c r="C34" s="2">
        <v>3</v>
      </c>
      <c r="D34" s="2">
        <v>2</v>
      </c>
      <c r="E34" s="2">
        <v>2</v>
      </c>
      <c r="F34" s="2">
        <v>3</v>
      </c>
      <c r="G34" s="2">
        <v>4</v>
      </c>
      <c r="H34" s="2">
        <v>2</v>
      </c>
      <c r="I34" s="2">
        <v>2</v>
      </c>
      <c r="J34" s="2">
        <v>2</v>
      </c>
      <c r="K34" s="2">
        <v>3</v>
      </c>
      <c r="L34" s="2">
        <v>6</v>
      </c>
      <c r="M34" s="2">
        <v>3</v>
      </c>
    </row>
    <row r="35" spans="2:13" x14ac:dyDescent="0.25">
      <c r="B35" s="12"/>
      <c r="C35" s="26"/>
      <c r="D35" s="26"/>
      <c r="E35" s="26"/>
      <c r="F35" s="26"/>
      <c r="G35" s="10"/>
      <c r="H35" s="10"/>
    </row>
    <row r="36" spans="2:13" x14ac:dyDescent="0.25">
      <c r="B36" s="27"/>
      <c r="C36" s="2"/>
      <c r="D36" s="2"/>
      <c r="E36" s="2"/>
      <c r="F36" s="2"/>
      <c r="G36" s="8"/>
      <c r="H36" s="8"/>
    </row>
    <row r="37" spans="2:13" x14ac:dyDescent="0.25">
      <c r="B37" s="22" t="s">
        <v>393</v>
      </c>
      <c r="C37" s="2"/>
      <c r="D37" s="2"/>
      <c r="E37" s="2"/>
      <c r="F37" s="2"/>
      <c r="G37" s="18"/>
      <c r="H37" s="18"/>
    </row>
    <row r="38" spans="2:13" x14ac:dyDescent="0.25">
      <c r="B38" s="11"/>
      <c r="C38" s="2"/>
      <c r="D38" s="2"/>
      <c r="E38" s="2"/>
      <c r="F38" s="2"/>
      <c r="G38" s="8"/>
      <c r="H38" s="8"/>
    </row>
    <row r="39" spans="2:13" x14ac:dyDescent="0.25">
      <c r="B39" s="12"/>
      <c r="C39" s="26"/>
      <c r="D39" s="26"/>
      <c r="E39" s="26"/>
      <c r="F39" s="26"/>
      <c r="G39" s="2"/>
      <c r="H39" s="2"/>
    </row>
    <row r="40" spans="2:13" x14ac:dyDescent="0.25">
      <c r="B40" s="12"/>
      <c r="C40" s="24"/>
      <c r="D40" s="24"/>
      <c r="E40" s="24"/>
      <c r="F40" s="24"/>
      <c r="G40" s="2"/>
      <c r="H40" s="2"/>
    </row>
    <row r="41" spans="2:13" x14ac:dyDescent="0.25">
      <c r="B41" s="22"/>
      <c r="C41" s="2"/>
      <c r="D41" s="2"/>
      <c r="E41" s="2"/>
      <c r="F41" s="2"/>
      <c r="G41" s="19"/>
      <c r="H41" s="19"/>
    </row>
    <row r="42" spans="2:13" x14ac:dyDescent="0.25">
      <c r="B42" s="12"/>
      <c r="C42" s="8"/>
      <c r="D42" s="8"/>
      <c r="E42" s="8"/>
      <c r="F42" s="8"/>
      <c r="G42" s="19"/>
      <c r="H42" s="19"/>
    </row>
    <row r="43" spans="2:13" x14ac:dyDescent="0.25">
      <c r="B43" s="22"/>
      <c r="C43" s="2"/>
      <c r="D43" s="2"/>
      <c r="E43" s="2"/>
      <c r="F43" s="2"/>
      <c r="G43" s="19"/>
      <c r="H43" s="19"/>
    </row>
    <row r="44" spans="2:13" x14ac:dyDescent="0.25">
      <c r="B44" s="11"/>
      <c r="C44" s="2"/>
      <c r="D44" s="2"/>
      <c r="E44" s="2"/>
      <c r="F44" s="25"/>
      <c r="G44" s="8"/>
      <c r="H44" s="8"/>
    </row>
    <row r="45" spans="2:13" x14ac:dyDescent="0.25">
      <c r="B45" s="12"/>
      <c r="C45" s="8"/>
      <c r="D45" s="8"/>
      <c r="E45" s="8"/>
      <c r="F45" s="8"/>
      <c r="G45" s="8"/>
      <c r="H45" s="8"/>
    </row>
    <row r="46" spans="2:13" x14ac:dyDescent="0.25">
      <c r="B46" s="22"/>
      <c r="C46" s="2"/>
      <c r="D46" s="2"/>
      <c r="E46" s="2"/>
      <c r="F46" s="2"/>
      <c r="G46" s="19"/>
      <c r="H46" s="19"/>
    </row>
    <row r="47" spans="2:13" x14ac:dyDescent="0.25">
      <c r="B47" s="11"/>
      <c r="C47" s="23"/>
      <c r="D47" s="23"/>
      <c r="E47" s="23"/>
      <c r="F47" s="23"/>
      <c r="G47" s="19"/>
      <c r="H47" s="19"/>
    </row>
    <row r="48" spans="2:13" x14ac:dyDescent="0.25">
      <c r="B48" s="12"/>
      <c r="C48" s="8"/>
      <c r="D48" s="8"/>
      <c r="E48" s="8"/>
      <c r="F48" s="8"/>
      <c r="G48" s="8"/>
      <c r="H48" s="8"/>
    </row>
    <row r="49" spans="2:8" x14ac:dyDescent="0.25">
      <c r="B49" s="12"/>
      <c r="C49" s="8"/>
      <c r="D49" s="8"/>
      <c r="E49" s="8"/>
      <c r="F49" s="8"/>
      <c r="G49" s="8"/>
      <c r="H49" s="8"/>
    </row>
    <row r="50" spans="2:8" x14ac:dyDescent="0.25">
      <c r="B50" s="7"/>
    </row>
    <row r="51" spans="2:8" x14ac:dyDescent="0.25">
      <c r="B51" s="6"/>
    </row>
    <row r="52" spans="2:8" x14ac:dyDescent="0.25">
      <c r="B52" s="6"/>
    </row>
    <row r="53" spans="2:8" x14ac:dyDescent="0.25">
      <c r="B53" s="6"/>
    </row>
    <row r="54" spans="2:8" x14ac:dyDescent="0.25">
      <c r="B54" s="6"/>
    </row>
    <row r="55" spans="2:8" x14ac:dyDescent="0.25">
      <c r="B55" s="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N131"/>
  <sheetViews>
    <sheetView zoomScaleNormal="100" workbookViewId="0">
      <pane ySplit="2" topLeftCell="A3" activePane="bottomLeft" state="frozen"/>
      <selection activeCell="K42" sqref="K42"/>
      <selection pane="bottomLeft"/>
    </sheetView>
  </sheetViews>
  <sheetFormatPr defaultColWidth="9" defaultRowHeight="15" x14ac:dyDescent="0.25"/>
  <cols>
    <col min="1" max="1" width="1.625" style="1" customWidth="1"/>
    <col min="2" max="2" width="44" style="1" customWidth="1"/>
    <col min="3" max="10" width="10" style="1" customWidth="1"/>
    <col min="11" max="16384" width="9" style="1"/>
  </cols>
  <sheetData>
    <row r="2" spans="2:13" ht="18.75" x14ac:dyDescent="0.3">
      <c r="B2" s="4" t="s">
        <v>10</v>
      </c>
    </row>
    <row r="3" spans="2:13" ht="18.75" x14ac:dyDescent="0.3">
      <c r="B3" s="4"/>
    </row>
    <row r="4" spans="2:13" ht="18.75" x14ac:dyDescent="0.3">
      <c r="B4" s="15" t="s">
        <v>365</v>
      </c>
      <c r="C4" s="16">
        <v>2014</v>
      </c>
      <c r="D4" s="16">
        <v>2015</v>
      </c>
      <c r="E4" s="16">
        <v>2016</v>
      </c>
      <c r="F4" s="16">
        <v>2017</v>
      </c>
      <c r="G4" s="16">
        <v>2018</v>
      </c>
      <c r="H4" s="16">
        <v>2019</v>
      </c>
      <c r="I4" s="16">
        <v>2020</v>
      </c>
      <c r="J4" s="16">
        <v>2021</v>
      </c>
      <c r="K4" s="16">
        <v>2022</v>
      </c>
      <c r="L4" s="16">
        <v>2023</v>
      </c>
      <c r="M4" s="16">
        <v>2024</v>
      </c>
    </row>
    <row r="5" spans="2:13" x14ac:dyDescent="0.25">
      <c r="B5" s="22" t="s">
        <v>69</v>
      </c>
    </row>
    <row r="6" spans="2:13" x14ac:dyDescent="0.25">
      <c r="B6" s="28" t="s">
        <v>73</v>
      </c>
      <c r="C6" s="40">
        <v>9</v>
      </c>
      <c r="D6" s="40">
        <v>9</v>
      </c>
      <c r="E6" s="40">
        <v>9</v>
      </c>
      <c r="F6" s="40">
        <v>9</v>
      </c>
      <c r="G6" s="19">
        <v>8</v>
      </c>
      <c r="H6" s="19">
        <v>8</v>
      </c>
      <c r="I6" s="19">
        <v>8</v>
      </c>
      <c r="J6" s="19">
        <v>9</v>
      </c>
      <c r="K6" s="19">
        <v>9</v>
      </c>
      <c r="L6" s="19">
        <v>9</v>
      </c>
      <c r="M6" s="19">
        <v>9</v>
      </c>
    </row>
    <row r="7" spans="2:13" x14ac:dyDescent="0.25">
      <c r="B7" s="11" t="s">
        <v>76</v>
      </c>
      <c r="C7" s="19"/>
      <c r="D7" s="19"/>
      <c r="E7" s="19"/>
      <c r="F7" s="19"/>
      <c r="G7" s="19"/>
      <c r="H7" s="19"/>
      <c r="I7" s="19"/>
      <c r="J7" s="19"/>
      <c r="K7" s="19"/>
      <c r="L7" s="19"/>
      <c r="M7" s="19"/>
    </row>
    <row r="8" spans="2:13" x14ac:dyDescent="0.25">
      <c r="B8" s="28" t="s">
        <v>74</v>
      </c>
      <c r="C8" s="40">
        <v>173</v>
      </c>
      <c r="D8" s="40">
        <v>183</v>
      </c>
      <c r="E8" s="40">
        <v>211</v>
      </c>
      <c r="F8" s="40">
        <v>189</v>
      </c>
      <c r="G8" s="19">
        <v>235</v>
      </c>
      <c r="H8" s="19">
        <v>252</v>
      </c>
      <c r="I8" s="19">
        <v>221</v>
      </c>
      <c r="J8" s="19">
        <v>221</v>
      </c>
      <c r="K8" s="19">
        <v>238</v>
      </c>
      <c r="L8" s="19">
        <v>215</v>
      </c>
      <c r="M8" s="19">
        <v>215</v>
      </c>
    </row>
    <row r="9" spans="2:13" x14ac:dyDescent="0.25">
      <c r="B9" s="28" t="s">
        <v>75</v>
      </c>
      <c r="C9" s="40">
        <v>20</v>
      </c>
      <c r="D9" s="40">
        <v>20</v>
      </c>
      <c r="E9" s="40">
        <v>20</v>
      </c>
      <c r="F9" s="40">
        <v>20</v>
      </c>
      <c r="G9" s="19">
        <v>20</v>
      </c>
      <c r="H9" s="19">
        <v>23</v>
      </c>
      <c r="I9" s="19">
        <v>23</v>
      </c>
      <c r="J9" s="19">
        <v>23</v>
      </c>
      <c r="K9" s="19">
        <v>23</v>
      </c>
      <c r="L9" s="19">
        <v>23</v>
      </c>
      <c r="M9" s="19">
        <v>23</v>
      </c>
    </row>
    <row r="10" spans="2:13" x14ac:dyDescent="0.25">
      <c r="B10" s="2"/>
      <c r="C10" s="19"/>
      <c r="D10" s="19"/>
      <c r="E10" s="19"/>
      <c r="F10" s="19"/>
      <c r="G10" s="19"/>
      <c r="H10" s="19"/>
      <c r="I10" s="19"/>
      <c r="J10" s="19"/>
      <c r="K10" s="19"/>
      <c r="L10" s="19"/>
      <c r="M10" s="19"/>
    </row>
    <row r="11" spans="2:13" x14ac:dyDescent="0.25">
      <c r="B11" s="22" t="s">
        <v>70</v>
      </c>
      <c r="C11" s="19"/>
      <c r="D11" s="19"/>
      <c r="E11" s="19"/>
      <c r="F11" s="19"/>
      <c r="G11" s="19"/>
      <c r="H11" s="19"/>
      <c r="I11" s="19"/>
      <c r="J11" s="19"/>
      <c r="K11" s="19"/>
      <c r="L11" s="19"/>
      <c r="M11" s="19"/>
    </row>
    <row r="12" spans="2:13" x14ac:dyDescent="0.25">
      <c r="B12" s="28" t="s">
        <v>73</v>
      </c>
      <c r="C12" s="40">
        <v>7</v>
      </c>
      <c r="D12" s="40">
        <v>9</v>
      </c>
      <c r="E12" s="40">
        <v>9</v>
      </c>
      <c r="F12" s="19">
        <v>9</v>
      </c>
      <c r="G12" s="19">
        <v>11</v>
      </c>
      <c r="H12" s="19">
        <v>11</v>
      </c>
      <c r="I12" s="19">
        <v>10</v>
      </c>
      <c r="J12" s="19">
        <v>10</v>
      </c>
      <c r="K12" s="19">
        <v>10</v>
      </c>
      <c r="L12" s="19">
        <v>10</v>
      </c>
      <c r="M12" s="19">
        <v>10</v>
      </c>
    </row>
    <row r="13" spans="2:13" x14ac:dyDescent="0.25">
      <c r="B13" s="11" t="s">
        <v>76</v>
      </c>
      <c r="C13" s="19"/>
      <c r="D13" s="19"/>
      <c r="E13" s="19"/>
      <c r="F13" s="19"/>
      <c r="G13" s="19"/>
      <c r="H13" s="19"/>
      <c r="I13" s="19"/>
      <c r="J13" s="19"/>
      <c r="K13" s="19"/>
      <c r="L13" s="19"/>
      <c r="M13" s="19"/>
    </row>
    <row r="14" spans="2:13" x14ac:dyDescent="0.25">
      <c r="B14" s="28" t="s">
        <v>74</v>
      </c>
      <c r="C14" s="40">
        <v>237</v>
      </c>
      <c r="D14" s="40">
        <v>269</v>
      </c>
      <c r="E14" s="40">
        <v>237</v>
      </c>
      <c r="F14" s="19">
        <v>210</v>
      </c>
      <c r="G14" s="19">
        <v>225</v>
      </c>
      <c r="H14" s="19">
        <v>225</v>
      </c>
      <c r="I14" s="19">
        <v>228</v>
      </c>
      <c r="J14" s="19">
        <v>250</v>
      </c>
      <c r="K14" s="19">
        <v>250</v>
      </c>
      <c r="L14" s="19">
        <v>250</v>
      </c>
      <c r="M14" s="19">
        <v>250</v>
      </c>
    </row>
    <row r="15" spans="2:13" x14ac:dyDescent="0.25">
      <c r="B15" s="28" t="s">
        <v>75</v>
      </c>
      <c r="C15" s="40">
        <v>50</v>
      </c>
      <c r="D15" s="40">
        <v>12</v>
      </c>
      <c r="E15" s="40">
        <v>18</v>
      </c>
      <c r="F15" s="19">
        <v>42</v>
      </c>
      <c r="G15" s="19">
        <v>12</v>
      </c>
      <c r="H15" s="19">
        <v>12</v>
      </c>
      <c r="I15" s="19">
        <v>13</v>
      </c>
      <c r="J15" s="19">
        <v>40</v>
      </c>
      <c r="K15" s="19">
        <v>40</v>
      </c>
      <c r="L15" s="19">
        <v>40</v>
      </c>
      <c r="M15" s="19">
        <v>40</v>
      </c>
    </row>
    <row r="16" spans="2:13" x14ac:dyDescent="0.25">
      <c r="B16" s="2"/>
      <c r="C16" s="19"/>
      <c r="D16" s="19"/>
      <c r="E16" s="19"/>
      <c r="F16" s="19"/>
      <c r="G16" s="19"/>
      <c r="H16" s="19"/>
      <c r="I16" s="19"/>
      <c r="J16" s="19"/>
      <c r="K16" s="19"/>
      <c r="L16" s="19"/>
      <c r="M16" s="19"/>
    </row>
    <row r="17" spans="2:13" x14ac:dyDescent="0.25">
      <c r="B17" s="22" t="s">
        <v>71</v>
      </c>
      <c r="C17" s="19"/>
      <c r="D17" s="19"/>
      <c r="E17" s="19"/>
      <c r="F17" s="19"/>
      <c r="G17" s="19"/>
      <c r="H17" s="19"/>
      <c r="I17" s="19"/>
      <c r="J17" s="19"/>
      <c r="K17" s="19"/>
      <c r="L17" s="19"/>
      <c r="M17" s="19"/>
    </row>
    <row r="18" spans="2:13" x14ac:dyDescent="0.25">
      <c r="B18" s="28" t="s">
        <v>366</v>
      </c>
      <c r="C18" s="40">
        <v>43</v>
      </c>
      <c r="D18" s="40">
        <v>40</v>
      </c>
      <c r="E18" s="40">
        <v>40</v>
      </c>
      <c r="F18" s="19">
        <v>38</v>
      </c>
      <c r="G18" s="19">
        <v>38</v>
      </c>
      <c r="H18" s="19">
        <v>39</v>
      </c>
      <c r="I18" s="19">
        <v>44</v>
      </c>
      <c r="J18" s="19">
        <v>44</v>
      </c>
      <c r="K18" s="19">
        <v>41</v>
      </c>
      <c r="L18" s="19">
        <v>43</v>
      </c>
      <c r="M18" s="19">
        <v>43</v>
      </c>
    </row>
    <row r="19" spans="2:13" x14ac:dyDescent="0.25">
      <c r="B19" s="11" t="s">
        <v>76</v>
      </c>
      <c r="C19" s="19"/>
      <c r="D19" s="19"/>
      <c r="E19" s="19"/>
      <c r="F19" s="19"/>
      <c r="G19" s="19"/>
      <c r="H19" s="19"/>
      <c r="I19" s="19"/>
      <c r="J19" s="19"/>
      <c r="K19" s="19"/>
      <c r="L19" s="19"/>
      <c r="M19" s="19"/>
    </row>
    <row r="20" spans="2:13" x14ac:dyDescent="0.25">
      <c r="B20" s="28" t="s">
        <v>331</v>
      </c>
      <c r="C20" s="40">
        <v>441</v>
      </c>
      <c r="D20" s="120">
        <v>441</v>
      </c>
      <c r="E20" s="120">
        <v>463</v>
      </c>
      <c r="F20" s="19">
        <v>463</v>
      </c>
      <c r="G20" s="19">
        <v>463</v>
      </c>
      <c r="H20" s="19">
        <v>505</v>
      </c>
      <c r="I20" s="19">
        <v>504</v>
      </c>
      <c r="J20" s="19">
        <v>504</v>
      </c>
      <c r="K20" s="19">
        <v>504</v>
      </c>
      <c r="L20" s="19">
        <v>504</v>
      </c>
      <c r="M20" s="19">
        <v>506</v>
      </c>
    </row>
    <row r="21" spans="2:13" x14ac:dyDescent="0.25">
      <c r="B21" s="28" t="s">
        <v>75</v>
      </c>
      <c r="C21" s="40">
        <v>7</v>
      </c>
      <c r="D21" s="40">
        <v>7</v>
      </c>
      <c r="E21" s="40">
        <v>7</v>
      </c>
      <c r="F21" s="19">
        <v>7</v>
      </c>
      <c r="G21" s="19">
        <v>7</v>
      </c>
      <c r="H21" s="19">
        <v>7</v>
      </c>
      <c r="I21" s="19">
        <v>7</v>
      </c>
      <c r="J21" s="19">
        <v>7</v>
      </c>
      <c r="K21" s="19">
        <v>7</v>
      </c>
      <c r="L21" s="19">
        <v>7</v>
      </c>
      <c r="M21" s="19">
        <v>7</v>
      </c>
    </row>
    <row r="22" spans="2:13" x14ac:dyDescent="0.25">
      <c r="B22" s="2"/>
      <c r="C22" s="19"/>
      <c r="D22" s="19"/>
      <c r="E22" s="19"/>
      <c r="F22" s="19"/>
      <c r="G22" s="19"/>
      <c r="H22" s="19"/>
      <c r="I22" s="19"/>
      <c r="J22" s="19"/>
      <c r="K22" s="19"/>
      <c r="L22" s="19"/>
      <c r="M22" s="19"/>
    </row>
    <row r="23" spans="2:13" x14ac:dyDescent="0.25">
      <c r="B23" s="22" t="s">
        <v>72</v>
      </c>
      <c r="C23" s="40">
        <v>59</v>
      </c>
      <c r="D23" s="40">
        <v>58</v>
      </c>
      <c r="E23" s="40">
        <v>58</v>
      </c>
      <c r="F23" s="40">
        <v>56</v>
      </c>
      <c r="G23" s="40">
        <v>57</v>
      </c>
      <c r="H23" s="40">
        <v>58</v>
      </c>
      <c r="I23" s="40">
        <v>62</v>
      </c>
      <c r="J23" s="19">
        <v>63</v>
      </c>
      <c r="K23" s="40">
        <v>60</v>
      </c>
      <c r="L23" s="19">
        <v>62</v>
      </c>
      <c r="M23" s="19">
        <v>62</v>
      </c>
    </row>
    <row r="24" spans="2:13" x14ac:dyDescent="0.25">
      <c r="B24" s="6"/>
    </row>
    <row r="25" spans="2:13" x14ac:dyDescent="0.25">
      <c r="B25" s="63" t="s">
        <v>364</v>
      </c>
    </row>
    <row r="26" spans="2:13" x14ac:dyDescent="0.25">
      <c r="B26" s="63"/>
    </row>
    <row r="27" spans="2:13" x14ac:dyDescent="0.25">
      <c r="B27" s="63"/>
    </row>
    <row r="30" spans="2:13" ht="18.75" x14ac:dyDescent="0.3">
      <c r="B30" s="15" t="s">
        <v>121</v>
      </c>
      <c r="C30" s="16">
        <v>2014</v>
      </c>
      <c r="D30" s="16">
        <v>2015</v>
      </c>
      <c r="E30" s="16">
        <v>2016</v>
      </c>
      <c r="F30" s="16">
        <v>2017</v>
      </c>
      <c r="G30" s="16">
        <v>2018</v>
      </c>
      <c r="H30" s="16">
        <v>2019</v>
      </c>
      <c r="I30" s="16">
        <v>2020</v>
      </c>
      <c r="J30" s="16">
        <v>2021</v>
      </c>
      <c r="K30" s="16">
        <v>2022</v>
      </c>
      <c r="L30" s="16">
        <v>2023</v>
      </c>
      <c r="M30" s="16">
        <v>2024</v>
      </c>
    </row>
    <row r="31" spans="2:13" x14ac:dyDescent="0.25">
      <c r="B31" s="22" t="s">
        <v>69</v>
      </c>
    </row>
    <row r="32" spans="2:13" x14ac:dyDescent="0.25">
      <c r="B32" s="28" t="s">
        <v>73</v>
      </c>
      <c r="C32" s="2">
        <v>17</v>
      </c>
      <c r="D32" s="2">
        <v>17</v>
      </c>
      <c r="E32" s="2">
        <v>17</v>
      </c>
      <c r="F32" s="2">
        <v>17</v>
      </c>
      <c r="G32" s="2">
        <v>17</v>
      </c>
      <c r="H32" s="2">
        <v>17</v>
      </c>
      <c r="I32" s="2">
        <v>17</v>
      </c>
      <c r="J32" s="2">
        <v>17</v>
      </c>
      <c r="K32" s="2">
        <v>16</v>
      </c>
      <c r="L32" s="2">
        <v>16</v>
      </c>
      <c r="M32" s="2">
        <v>16</v>
      </c>
    </row>
    <row r="33" spans="2:13" x14ac:dyDescent="0.25">
      <c r="B33" s="11" t="s">
        <v>76</v>
      </c>
      <c r="C33" s="2"/>
      <c r="D33" s="2"/>
      <c r="E33" s="2"/>
      <c r="F33" s="2"/>
      <c r="G33" s="2"/>
      <c r="H33" s="2"/>
      <c r="I33" s="2"/>
      <c r="J33" s="2"/>
      <c r="K33" s="2"/>
      <c r="L33" s="2"/>
      <c r="M33" s="2"/>
    </row>
    <row r="34" spans="2:13" x14ac:dyDescent="0.25">
      <c r="B34" s="28" t="s">
        <v>74</v>
      </c>
      <c r="C34" s="2">
        <v>101</v>
      </c>
      <c r="D34" s="2">
        <v>107</v>
      </c>
      <c r="E34" s="2">
        <v>107</v>
      </c>
      <c r="F34" s="2">
        <v>107</v>
      </c>
      <c r="G34" s="2">
        <v>107</v>
      </c>
      <c r="H34" s="2">
        <v>100</v>
      </c>
      <c r="I34" s="2">
        <v>124</v>
      </c>
      <c r="J34" s="2">
        <v>130</v>
      </c>
      <c r="K34" s="2">
        <v>130</v>
      </c>
      <c r="L34" s="2">
        <v>130</v>
      </c>
      <c r="M34" s="2">
        <v>134</v>
      </c>
    </row>
    <row r="35" spans="2:13" x14ac:dyDescent="0.25">
      <c r="B35" s="28" t="s">
        <v>75</v>
      </c>
      <c r="C35" s="2">
        <v>12</v>
      </c>
      <c r="D35" s="2">
        <v>12</v>
      </c>
      <c r="E35" s="2">
        <v>12</v>
      </c>
      <c r="F35" s="2">
        <v>12</v>
      </c>
      <c r="G35" s="2">
        <v>12</v>
      </c>
      <c r="H35" s="2">
        <v>12</v>
      </c>
      <c r="I35" s="2">
        <v>12</v>
      </c>
      <c r="J35" s="2">
        <v>12</v>
      </c>
      <c r="K35" s="2">
        <v>14</v>
      </c>
      <c r="L35" s="2">
        <v>14</v>
      </c>
      <c r="M35" s="2">
        <v>14</v>
      </c>
    </row>
    <row r="36" spans="2:13" x14ac:dyDescent="0.25">
      <c r="B36" s="2"/>
      <c r="C36" s="2"/>
      <c r="D36" s="2"/>
      <c r="E36" s="2"/>
      <c r="F36" s="2"/>
      <c r="G36" s="2"/>
      <c r="H36" s="2"/>
      <c r="I36" s="2"/>
      <c r="J36" s="2"/>
      <c r="K36" s="2"/>
      <c r="L36" s="2"/>
      <c r="M36" s="2"/>
    </row>
    <row r="37" spans="2:13" x14ac:dyDescent="0.25">
      <c r="B37" s="22" t="s">
        <v>70</v>
      </c>
      <c r="C37" s="2"/>
      <c r="D37" s="2"/>
      <c r="E37" s="2"/>
      <c r="F37" s="2"/>
      <c r="G37" s="2"/>
      <c r="H37" s="2"/>
      <c r="I37" s="2"/>
      <c r="J37" s="2"/>
      <c r="K37" s="2"/>
      <c r="L37" s="2"/>
      <c r="M37" s="2"/>
    </row>
    <row r="38" spans="2:13" x14ac:dyDescent="0.25">
      <c r="B38" s="28" t="s">
        <v>73</v>
      </c>
      <c r="C38" s="2">
        <v>16</v>
      </c>
      <c r="D38" s="2">
        <v>16</v>
      </c>
      <c r="E38" s="2">
        <v>15</v>
      </c>
      <c r="F38" s="2">
        <v>15</v>
      </c>
      <c r="G38" s="2">
        <v>15</v>
      </c>
      <c r="H38" s="2">
        <v>15</v>
      </c>
      <c r="I38" s="2">
        <v>15</v>
      </c>
      <c r="J38" s="2">
        <v>15</v>
      </c>
      <c r="K38" s="2">
        <v>15</v>
      </c>
      <c r="L38" s="2">
        <v>15</v>
      </c>
      <c r="M38" s="2">
        <v>15</v>
      </c>
    </row>
    <row r="39" spans="2:13" x14ac:dyDescent="0.25">
      <c r="B39" s="11" t="s">
        <v>76</v>
      </c>
      <c r="C39" s="2"/>
      <c r="D39" s="2"/>
      <c r="E39" s="2"/>
      <c r="F39" s="2"/>
      <c r="G39" s="2"/>
      <c r="H39" s="2"/>
      <c r="I39" s="2"/>
      <c r="J39" s="2"/>
      <c r="K39" s="2"/>
      <c r="L39" s="2"/>
      <c r="M39" s="2"/>
    </row>
    <row r="40" spans="2:13" x14ac:dyDescent="0.25">
      <c r="B40" s="28" t="s">
        <v>74</v>
      </c>
      <c r="C40" s="2">
        <f>229+26</f>
        <v>255</v>
      </c>
      <c r="D40" s="2">
        <v>255</v>
      </c>
      <c r="E40" s="2">
        <v>255</v>
      </c>
      <c r="F40" s="2">
        <v>255</v>
      </c>
      <c r="G40" s="2">
        <v>312</v>
      </c>
      <c r="H40" s="2">
        <v>312</v>
      </c>
      <c r="I40" s="2">
        <v>312</v>
      </c>
      <c r="J40" s="2">
        <v>312</v>
      </c>
      <c r="K40" s="2">
        <v>309</v>
      </c>
      <c r="L40" s="2">
        <v>309</v>
      </c>
      <c r="M40" s="2">
        <v>309</v>
      </c>
    </row>
    <row r="41" spans="2:13" x14ac:dyDescent="0.25">
      <c r="B41" s="28" t="s">
        <v>75</v>
      </c>
      <c r="C41" s="2">
        <v>60</v>
      </c>
      <c r="D41" s="2">
        <v>59</v>
      </c>
      <c r="E41" s="2">
        <v>58</v>
      </c>
      <c r="F41" s="2">
        <v>58</v>
      </c>
      <c r="G41" s="2">
        <v>58</v>
      </c>
      <c r="H41" s="2">
        <v>48</v>
      </c>
      <c r="I41" s="2">
        <v>59</v>
      </c>
      <c r="J41" s="2">
        <v>59</v>
      </c>
      <c r="K41" s="2">
        <v>59</v>
      </c>
      <c r="L41" s="2">
        <v>64</v>
      </c>
      <c r="M41" s="2">
        <v>60</v>
      </c>
    </row>
    <row r="42" spans="2:13" x14ac:dyDescent="0.25">
      <c r="B42" s="2"/>
      <c r="C42" s="2"/>
      <c r="D42" s="2"/>
      <c r="E42" s="2"/>
      <c r="F42" s="2"/>
      <c r="G42" s="2"/>
      <c r="H42" s="2"/>
      <c r="I42" s="2"/>
      <c r="J42" s="2"/>
      <c r="K42" s="2"/>
      <c r="L42" s="2"/>
      <c r="M42" s="2"/>
    </row>
    <row r="43" spans="2:13" x14ac:dyDescent="0.25">
      <c r="B43" s="22" t="s">
        <v>71</v>
      </c>
      <c r="C43" s="2"/>
      <c r="D43" s="2"/>
      <c r="E43" s="2"/>
      <c r="F43" s="2"/>
      <c r="G43" s="2"/>
      <c r="H43" s="2"/>
      <c r="I43" s="2"/>
      <c r="J43" s="2"/>
      <c r="K43" s="2"/>
      <c r="L43" s="2"/>
      <c r="M43" s="2"/>
    </row>
    <row r="44" spans="2:13" x14ac:dyDescent="0.25">
      <c r="B44" s="28" t="s">
        <v>73</v>
      </c>
      <c r="C44" s="2"/>
      <c r="D44" s="2"/>
      <c r="E44" s="2"/>
      <c r="F44" s="2"/>
      <c r="G44" s="2"/>
      <c r="H44" s="2"/>
      <c r="I44" s="2"/>
      <c r="J44" s="2"/>
      <c r="K44" s="2"/>
      <c r="L44" s="2"/>
      <c r="M44" s="2"/>
    </row>
    <row r="45" spans="2:13" x14ac:dyDescent="0.25">
      <c r="B45" s="11" t="s">
        <v>76</v>
      </c>
      <c r="C45" s="2"/>
      <c r="D45" s="2"/>
      <c r="E45" s="2"/>
      <c r="F45" s="2"/>
      <c r="G45" s="2"/>
      <c r="H45" s="2"/>
      <c r="I45" s="2"/>
      <c r="J45" s="2"/>
      <c r="K45" s="2"/>
      <c r="L45" s="2"/>
      <c r="M45" s="2"/>
    </row>
    <row r="46" spans="2:13" x14ac:dyDescent="0.25">
      <c r="B46" s="28" t="s">
        <v>74</v>
      </c>
      <c r="C46" s="2"/>
      <c r="D46" s="2"/>
      <c r="E46" s="2"/>
      <c r="F46" s="2"/>
      <c r="G46" s="2"/>
      <c r="H46" s="2"/>
      <c r="I46" s="2"/>
      <c r="J46" s="2"/>
      <c r="K46" s="2"/>
      <c r="L46" s="2"/>
      <c r="M46" s="2"/>
    </row>
    <row r="47" spans="2:13" x14ac:dyDescent="0.25">
      <c r="B47" s="28" t="s">
        <v>75</v>
      </c>
      <c r="C47" s="2"/>
      <c r="D47" s="2"/>
      <c r="E47" s="2"/>
      <c r="F47" s="2"/>
      <c r="G47" s="2"/>
      <c r="H47" s="2"/>
      <c r="I47" s="2"/>
      <c r="J47" s="2"/>
      <c r="K47" s="2"/>
      <c r="L47" s="2"/>
      <c r="M47" s="2"/>
    </row>
    <row r="48" spans="2:13" x14ac:dyDescent="0.25">
      <c r="B48" s="2"/>
      <c r="C48" s="2"/>
      <c r="D48" s="2"/>
      <c r="E48" s="2"/>
      <c r="F48" s="2"/>
      <c r="G48" s="2"/>
      <c r="H48" s="2"/>
      <c r="I48" s="2"/>
      <c r="J48" s="2"/>
      <c r="K48" s="2"/>
      <c r="L48" s="2"/>
      <c r="M48" s="2"/>
    </row>
    <row r="49" spans="2:14" x14ac:dyDescent="0.25">
      <c r="B49" s="22" t="s">
        <v>72</v>
      </c>
      <c r="C49" s="9">
        <f>C32+C38+C44</f>
        <v>33</v>
      </c>
      <c r="D49" s="9">
        <f t="shared" ref="D49:G49" si="0">D32+D38+D44</f>
        <v>33</v>
      </c>
      <c r="E49" s="9">
        <f t="shared" si="0"/>
        <v>32</v>
      </c>
      <c r="F49" s="9">
        <f>F32+F38+F44</f>
        <v>32</v>
      </c>
      <c r="G49" s="9">
        <f t="shared" si="0"/>
        <v>32</v>
      </c>
      <c r="H49" s="9">
        <f t="shared" ref="H49:I49" si="1">H32+H38+H44</f>
        <v>32</v>
      </c>
      <c r="I49" s="9">
        <f t="shared" si="1"/>
        <v>32</v>
      </c>
      <c r="J49" s="9">
        <f t="shared" ref="J49:K49" si="2">J32+J38+J44</f>
        <v>32</v>
      </c>
      <c r="K49" s="9">
        <f t="shared" si="2"/>
        <v>31</v>
      </c>
      <c r="L49" s="9">
        <f t="shared" ref="L49:M49" si="3">L32+L38+L44</f>
        <v>31</v>
      </c>
      <c r="M49" s="9">
        <f t="shared" si="3"/>
        <v>31</v>
      </c>
    </row>
    <row r="50" spans="2:14" x14ac:dyDescent="0.25">
      <c r="B50" s="6"/>
    </row>
    <row r="51" spans="2:14" x14ac:dyDescent="0.25">
      <c r="B51" s="6"/>
    </row>
    <row r="52" spans="2:14" x14ac:dyDescent="0.25">
      <c r="B52" s="6"/>
    </row>
    <row r="53" spans="2:14" x14ac:dyDescent="0.25">
      <c r="B53" s="7"/>
    </row>
    <row r="56" spans="2:14" ht="18.75" x14ac:dyDescent="0.3">
      <c r="B56" s="15" t="s">
        <v>122</v>
      </c>
      <c r="C56" s="16">
        <v>2014</v>
      </c>
      <c r="D56" s="16">
        <v>2015</v>
      </c>
      <c r="E56" s="16">
        <v>2016</v>
      </c>
      <c r="F56" s="16">
        <v>2017</v>
      </c>
      <c r="G56" s="16">
        <v>2018</v>
      </c>
      <c r="H56" s="16">
        <v>2019</v>
      </c>
      <c r="I56" s="16">
        <v>2020</v>
      </c>
      <c r="J56" s="16">
        <v>2021</v>
      </c>
      <c r="K56" s="16">
        <v>2022</v>
      </c>
      <c r="L56" s="16">
        <v>2023</v>
      </c>
      <c r="M56" s="16">
        <v>2024</v>
      </c>
    </row>
    <row r="57" spans="2:14" x14ac:dyDescent="0.25">
      <c r="B57" s="22" t="s">
        <v>69</v>
      </c>
      <c r="M57" s="161"/>
    </row>
    <row r="58" spans="2:14" x14ac:dyDescent="0.25">
      <c r="B58" s="28" t="s">
        <v>73</v>
      </c>
      <c r="C58" s="73">
        <v>2</v>
      </c>
      <c r="D58" s="73">
        <v>2</v>
      </c>
      <c r="E58" s="73">
        <v>2</v>
      </c>
      <c r="F58" s="73">
        <v>2</v>
      </c>
      <c r="G58" s="23">
        <v>2</v>
      </c>
      <c r="H58" s="23">
        <v>2</v>
      </c>
      <c r="I58" s="23">
        <v>2</v>
      </c>
      <c r="J58" s="23">
        <v>2</v>
      </c>
      <c r="K58" s="23">
        <v>2</v>
      </c>
      <c r="L58" s="23">
        <v>2</v>
      </c>
      <c r="M58" s="23">
        <v>2</v>
      </c>
    </row>
    <row r="59" spans="2:14" x14ac:dyDescent="0.25">
      <c r="B59" s="11" t="s">
        <v>76</v>
      </c>
      <c r="C59" s="23"/>
      <c r="D59" s="23"/>
      <c r="E59" s="23"/>
      <c r="F59" s="23"/>
      <c r="G59" s="23"/>
      <c r="H59" s="23"/>
      <c r="I59" s="23"/>
      <c r="J59" s="23"/>
      <c r="K59" s="23"/>
      <c r="L59" s="23"/>
      <c r="M59" s="23"/>
    </row>
    <row r="60" spans="2:14" x14ac:dyDescent="0.25">
      <c r="B60" s="28" t="s">
        <v>74</v>
      </c>
      <c r="C60" s="73">
        <v>22</v>
      </c>
      <c r="D60" s="73">
        <v>23</v>
      </c>
      <c r="E60" s="73">
        <v>23</v>
      </c>
      <c r="F60" s="73">
        <v>23</v>
      </c>
      <c r="G60" s="23">
        <v>22</v>
      </c>
      <c r="H60" s="23">
        <v>22</v>
      </c>
      <c r="I60" s="23">
        <v>21</v>
      </c>
      <c r="J60" s="23">
        <v>21</v>
      </c>
      <c r="K60" s="23">
        <v>21</v>
      </c>
      <c r="L60" s="23">
        <v>22</v>
      </c>
      <c r="M60" s="23">
        <v>22</v>
      </c>
      <c r="N60" s="123"/>
    </row>
    <row r="61" spans="2:14" x14ac:dyDescent="0.25">
      <c r="B61" s="28" t="s">
        <v>75</v>
      </c>
      <c r="C61" s="73">
        <v>20</v>
      </c>
      <c r="D61" s="73">
        <v>21</v>
      </c>
      <c r="E61" s="73">
        <v>21</v>
      </c>
      <c r="F61" s="73">
        <v>22</v>
      </c>
      <c r="G61" s="23">
        <v>22</v>
      </c>
      <c r="H61" s="23">
        <v>22</v>
      </c>
      <c r="I61" s="23">
        <v>21</v>
      </c>
      <c r="J61" s="23">
        <v>21</v>
      </c>
      <c r="K61" s="23">
        <v>21</v>
      </c>
      <c r="L61" s="23">
        <v>21</v>
      </c>
      <c r="M61" s="23">
        <v>21</v>
      </c>
    </row>
    <row r="62" spans="2:14" x14ac:dyDescent="0.25">
      <c r="B62" s="2"/>
      <c r="C62" s="23"/>
      <c r="D62" s="23"/>
      <c r="E62" s="23"/>
      <c r="F62" s="23"/>
      <c r="G62" s="23"/>
      <c r="H62" s="23"/>
      <c r="I62" s="23"/>
      <c r="J62" s="23"/>
      <c r="K62" s="23"/>
      <c r="L62" s="23"/>
      <c r="M62" s="23"/>
    </row>
    <row r="63" spans="2:14" x14ac:dyDescent="0.25">
      <c r="B63" s="22" t="s">
        <v>70</v>
      </c>
      <c r="C63" s="23"/>
      <c r="D63" s="23"/>
      <c r="E63" s="23"/>
      <c r="F63" s="23"/>
      <c r="G63" s="23"/>
      <c r="H63" s="23"/>
      <c r="I63" s="23"/>
      <c r="J63" s="23"/>
      <c r="K63" s="23"/>
      <c r="L63" s="23"/>
      <c r="M63" s="23"/>
    </row>
    <row r="64" spans="2:14" x14ac:dyDescent="0.25">
      <c r="B64" s="28" t="s">
        <v>73</v>
      </c>
      <c r="C64" s="73">
        <v>4</v>
      </c>
      <c r="D64" s="73">
        <v>3</v>
      </c>
      <c r="E64" s="73">
        <v>3</v>
      </c>
      <c r="F64" s="73">
        <v>3</v>
      </c>
      <c r="G64" s="23">
        <v>3</v>
      </c>
      <c r="H64" s="23">
        <v>3</v>
      </c>
      <c r="I64" s="23">
        <v>2</v>
      </c>
      <c r="J64" s="23">
        <v>2</v>
      </c>
      <c r="K64" s="23">
        <v>2</v>
      </c>
      <c r="L64" s="23">
        <v>2</v>
      </c>
      <c r="M64" s="23">
        <v>2</v>
      </c>
    </row>
    <row r="65" spans="2:14" x14ac:dyDescent="0.25">
      <c r="B65" s="11" t="s">
        <v>76</v>
      </c>
      <c r="C65" s="23"/>
      <c r="D65" s="23"/>
      <c r="E65" s="23"/>
      <c r="F65" s="23"/>
      <c r="G65" s="23"/>
      <c r="H65" s="23"/>
      <c r="I65" s="23"/>
      <c r="J65" s="23"/>
      <c r="K65" s="23"/>
      <c r="L65" s="23"/>
      <c r="M65" s="23"/>
    </row>
    <row r="66" spans="2:14" x14ac:dyDescent="0.25">
      <c r="B66" s="28" t="s">
        <v>74</v>
      </c>
      <c r="C66" s="73">
        <v>87</v>
      </c>
      <c r="D66" s="73">
        <v>87</v>
      </c>
      <c r="E66" s="73">
        <v>87</v>
      </c>
      <c r="F66" s="73">
        <v>78</v>
      </c>
      <c r="G66" s="23">
        <v>78</v>
      </c>
      <c r="H66" s="23">
        <v>78</v>
      </c>
      <c r="I66" s="23">
        <v>78</v>
      </c>
      <c r="J66" s="23">
        <v>83</v>
      </c>
      <c r="K66" s="23">
        <v>83</v>
      </c>
      <c r="L66" s="23">
        <v>81</v>
      </c>
      <c r="M66" s="23">
        <v>61</v>
      </c>
      <c r="N66" s="124"/>
    </row>
    <row r="67" spans="2:14" x14ac:dyDescent="0.25">
      <c r="B67" s="28" t="s">
        <v>75</v>
      </c>
      <c r="C67" s="73">
        <v>10</v>
      </c>
      <c r="D67" s="73">
        <v>10</v>
      </c>
      <c r="E67" s="73">
        <v>10</v>
      </c>
      <c r="F67" s="73">
        <v>10</v>
      </c>
      <c r="G67" s="23">
        <v>10</v>
      </c>
      <c r="H67" s="23">
        <v>10</v>
      </c>
      <c r="I67" s="23">
        <v>56</v>
      </c>
      <c r="J67" s="23">
        <v>56</v>
      </c>
      <c r="K67" s="23">
        <v>56</v>
      </c>
      <c r="L67" s="23">
        <v>56</v>
      </c>
      <c r="M67" s="23">
        <v>56</v>
      </c>
    </row>
    <row r="68" spans="2:14" x14ac:dyDescent="0.25">
      <c r="B68" s="2"/>
      <c r="C68" s="23"/>
      <c r="D68" s="23"/>
      <c r="E68" s="23"/>
      <c r="F68" s="23"/>
      <c r="G68" s="23"/>
      <c r="H68" s="23"/>
      <c r="I68" s="23"/>
      <c r="J68" s="23"/>
      <c r="K68" s="23"/>
      <c r="L68" s="23"/>
      <c r="M68" s="23"/>
    </row>
    <row r="69" spans="2:14" x14ac:dyDescent="0.25">
      <c r="B69" s="22" t="s">
        <v>356</v>
      </c>
      <c r="C69" s="23"/>
      <c r="D69" s="23"/>
      <c r="E69" s="23"/>
      <c r="F69" s="23"/>
      <c r="G69" s="23"/>
      <c r="H69" s="23"/>
      <c r="I69" s="23"/>
      <c r="J69" s="23"/>
      <c r="K69" s="23"/>
      <c r="L69" s="23"/>
      <c r="M69" s="23"/>
      <c r="N69" s="123"/>
    </row>
    <row r="70" spans="2:14" x14ac:dyDescent="0.25">
      <c r="B70" s="28" t="s">
        <v>73</v>
      </c>
      <c r="C70" s="23"/>
      <c r="D70" s="23"/>
      <c r="E70" s="23"/>
      <c r="F70" s="23"/>
      <c r="G70" s="23"/>
      <c r="H70" s="23"/>
      <c r="I70" s="23"/>
      <c r="J70" s="23"/>
      <c r="K70" s="23"/>
      <c r="L70" s="23"/>
      <c r="M70" s="23"/>
    </row>
    <row r="71" spans="2:14" x14ac:dyDescent="0.25">
      <c r="B71" s="11" t="s">
        <v>76</v>
      </c>
      <c r="C71" s="23"/>
      <c r="D71" s="23"/>
      <c r="E71" s="23"/>
      <c r="F71" s="23"/>
      <c r="G71" s="23"/>
      <c r="H71" s="23"/>
      <c r="I71" s="23"/>
      <c r="J71" s="23"/>
      <c r="K71" s="23"/>
      <c r="L71" s="23"/>
      <c r="M71" s="23"/>
    </row>
    <row r="72" spans="2:14" x14ac:dyDescent="0.25">
      <c r="B72" s="28" t="s">
        <v>74</v>
      </c>
      <c r="C72" s="23"/>
      <c r="D72" s="23"/>
      <c r="E72" s="23"/>
      <c r="F72" s="23"/>
      <c r="G72" s="23"/>
      <c r="H72" s="23"/>
      <c r="I72" s="23"/>
      <c r="J72" s="23"/>
      <c r="K72" s="23"/>
      <c r="L72" s="23"/>
      <c r="M72" s="23"/>
    </row>
    <row r="73" spans="2:14" x14ac:dyDescent="0.25">
      <c r="B73" s="28" t="s">
        <v>75</v>
      </c>
      <c r="C73" s="23"/>
      <c r="D73" s="23"/>
      <c r="E73" s="23"/>
      <c r="F73" s="23"/>
      <c r="G73" s="23"/>
      <c r="H73" s="23"/>
      <c r="I73" s="23"/>
      <c r="J73" s="23"/>
      <c r="K73" s="23"/>
      <c r="L73" s="23"/>
      <c r="M73" s="23"/>
    </row>
    <row r="74" spans="2:14" x14ac:dyDescent="0.25">
      <c r="B74" s="2"/>
      <c r="C74" s="23"/>
      <c r="D74" s="23"/>
      <c r="E74" s="23"/>
      <c r="F74" s="23"/>
      <c r="G74" s="23"/>
      <c r="H74" s="23"/>
      <c r="I74" s="23"/>
      <c r="J74" s="23"/>
      <c r="K74" s="23"/>
      <c r="L74" s="23"/>
      <c r="M74" s="23"/>
    </row>
    <row r="75" spans="2:14" x14ac:dyDescent="0.25">
      <c r="B75" s="22" t="s">
        <v>72</v>
      </c>
      <c r="C75" s="72">
        <f>C58+C64+C70</f>
        <v>6</v>
      </c>
      <c r="D75" s="72">
        <f t="shared" ref="D75:H75" si="4">D58+D64+D70</f>
        <v>5</v>
      </c>
      <c r="E75" s="72">
        <f t="shared" si="4"/>
        <v>5</v>
      </c>
      <c r="F75" s="72">
        <f t="shared" si="4"/>
        <v>5</v>
      </c>
      <c r="G75" s="72">
        <f t="shared" si="4"/>
        <v>5</v>
      </c>
      <c r="H75" s="72">
        <f t="shared" si="4"/>
        <v>5</v>
      </c>
      <c r="I75" s="72">
        <f t="shared" ref="I75:K75" si="5">I58+I64+I70</f>
        <v>4</v>
      </c>
      <c r="J75" s="72">
        <f>J58+J64+J70</f>
        <v>4</v>
      </c>
      <c r="K75" s="72">
        <f t="shared" si="5"/>
        <v>4</v>
      </c>
      <c r="L75" s="72">
        <f>L58+L64+L70</f>
        <v>4</v>
      </c>
      <c r="M75" s="72">
        <f>M58+M64+M70</f>
        <v>4</v>
      </c>
    </row>
    <row r="76" spans="2:14" x14ac:dyDescent="0.25">
      <c r="B76" s="6"/>
    </row>
    <row r="77" spans="2:14" x14ac:dyDescent="0.25">
      <c r="B77" s="63" t="s">
        <v>367</v>
      </c>
    </row>
    <row r="78" spans="2:14" x14ac:dyDescent="0.25">
      <c r="B78" s="6"/>
    </row>
    <row r="79" spans="2:14" x14ac:dyDescent="0.25">
      <c r="B79" s="7"/>
    </row>
    <row r="82" spans="2:13" ht="18.75" x14ac:dyDescent="0.3">
      <c r="B82" s="15" t="s">
        <v>123</v>
      </c>
      <c r="C82" s="16">
        <v>2014</v>
      </c>
      <c r="D82" s="16">
        <v>2015</v>
      </c>
      <c r="E82" s="16">
        <v>2016</v>
      </c>
      <c r="F82" s="16">
        <v>2017</v>
      </c>
      <c r="G82" s="16">
        <v>2018</v>
      </c>
      <c r="H82" s="16">
        <v>2019</v>
      </c>
      <c r="I82" s="16">
        <v>2020</v>
      </c>
      <c r="J82" s="16">
        <v>2021</v>
      </c>
      <c r="K82" s="16">
        <v>2022</v>
      </c>
      <c r="L82" s="16">
        <v>2023</v>
      </c>
      <c r="M82" s="16">
        <v>2024</v>
      </c>
    </row>
    <row r="83" spans="2:13" x14ac:dyDescent="0.25">
      <c r="B83" s="22" t="s">
        <v>261</v>
      </c>
    </row>
    <row r="84" spans="2:13" x14ac:dyDescent="0.25">
      <c r="B84" s="28" t="s">
        <v>73</v>
      </c>
      <c r="C84" s="23">
        <v>38</v>
      </c>
      <c r="D84" s="23">
        <v>33</v>
      </c>
      <c r="E84" s="23">
        <v>33</v>
      </c>
      <c r="F84" s="2">
        <v>38</v>
      </c>
      <c r="G84" s="2">
        <v>38</v>
      </c>
      <c r="H84" s="2">
        <v>33</v>
      </c>
      <c r="I84" s="2">
        <v>28</v>
      </c>
      <c r="J84" s="2">
        <v>28</v>
      </c>
      <c r="K84" s="2">
        <v>28</v>
      </c>
      <c r="L84" s="2">
        <v>28</v>
      </c>
      <c r="M84" s="2">
        <v>28</v>
      </c>
    </row>
    <row r="85" spans="2:13" x14ac:dyDescent="0.25">
      <c r="B85" s="11" t="s">
        <v>76</v>
      </c>
      <c r="C85" s="2"/>
      <c r="D85" s="2"/>
      <c r="E85" s="2"/>
      <c r="F85" s="2"/>
      <c r="G85" s="2"/>
      <c r="H85" s="2"/>
      <c r="I85" s="2"/>
      <c r="J85" s="2"/>
      <c r="K85" s="2"/>
      <c r="L85" s="2"/>
      <c r="M85" s="2"/>
    </row>
    <row r="86" spans="2:13" x14ac:dyDescent="0.25">
      <c r="B86" s="28" t="s">
        <v>74</v>
      </c>
      <c r="C86" s="74">
        <v>115</v>
      </c>
      <c r="D86" s="74">
        <v>115</v>
      </c>
      <c r="E86" s="74">
        <v>115</v>
      </c>
      <c r="F86" s="74">
        <v>115</v>
      </c>
      <c r="G86" s="2">
        <v>115</v>
      </c>
      <c r="H86" s="2">
        <v>115</v>
      </c>
      <c r="I86" s="2">
        <v>115</v>
      </c>
      <c r="J86" s="2">
        <v>115</v>
      </c>
      <c r="K86" s="2">
        <v>115</v>
      </c>
      <c r="L86" s="2">
        <v>115</v>
      </c>
      <c r="M86" s="2">
        <v>115</v>
      </c>
    </row>
    <row r="87" spans="2:13" x14ac:dyDescent="0.25">
      <c r="B87" s="28" t="s">
        <v>75</v>
      </c>
      <c r="C87" s="74">
        <v>10</v>
      </c>
      <c r="D87" s="74">
        <v>10</v>
      </c>
      <c r="E87" s="74">
        <v>10</v>
      </c>
      <c r="F87" s="74">
        <v>10</v>
      </c>
      <c r="G87" s="2">
        <v>10</v>
      </c>
      <c r="H87" s="2">
        <v>10</v>
      </c>
      <c r="I87" s="2">
        <v>10</v>
      </c>
      <c r="J87" s="2">
        <v>10</v>
      </c>
      <c r="K87" s="2">
        <v>10</v>
      </c>
      <c r="L87" s="2">
        <v>10</v>
      </c>
      <c r="M87" s="2">
        <v>10</v>
      </c>
    </row>
    <row r="88" spans="2:13" x14ac:dyDescent="0.25">
      <c r="B88" s="2"/>
      <c r="C88" s="2"/>
      <c r="D88" s="2"/>
      <c r="E88" s="2"/>
      <c r="F88" s="2"/>
      <c r="G88" s="2"/>
      <c r="H88" s="2"/>
      <c r="I88" s="2"/>
      <c r="J88" s="2"/>
      <c r="K88" s="2"/>
      <c r="L88" s="2"/>
      <c r="M88" s="2"/>
    </row>
    <row r="89" spans="2:13" x14ac:dyDescent="0.25">
      <c r="B89" s="22" t="s">
        <v>262</v>
      </c>
      <c r="C89" s="2"/>
      <c r="D89" s="2"/>
      <c r="E89" s="2"/>
      <c r="F89" s="2"/>
      <c r="G89" s="2"/>
      <c r="H89" s="2"/>
      <c r="I89" s="2"/>
      <c r="J89" s="2"/>
      <c r="K89" s="2"/>
      <c r="L89" s="2"/>
      <c r="M89" s="2"/>
    </row>
    <row r="90" spans="2:13" x14ac:dyDescent="0.25">
      <c r="B90" s="28" t="s">
        <v>73</v>
      </c>
      <c r="C90" s="74">
        <v>35</v>
      </c>
      <c r="D90" s="74">
        <v>32</v>
      </c>
      <c r="E90" s="74">
        <v>34</v>
      </c>
      <c r="F90" s="74">
        <v>31</v>
      </c>
      <c r="G90" s="2">
        <v>31</v>
      </c>
      <c r="H90" s="2">
        <v>31</v>
      </c>
      <c r="I90" s="2">
        <v>29</v>
      </c>
      <c r="J90" s="2">
        <v>29</v>
      </c>
      <c r="K90" s="2">
        <v>29</v>
      </c>
      <c r="L90" s="2">
        <v>28</v>
      </c>
      <c r="M90" s="2">
        <v>27</v>
      </c>
    </row>
    <row r="91" spans="2:13" x14ac:dyDescent="0.25">
      <c r="B91" s="11" t="s">
        <v>76</v>
      </c>
      <c r="C91" s="2"/>
      <c r="D91" s="2"/>
      <c r="E91" s="2"/>
      <c r="F91" s="2"/>
      <c r="G91" s="2"/>
      <c r="H91" s="2"/>
      <c r="I91" s="2"/>
      <c r="J91" s="2"/>
      <c r="K91" s="2"/>
      <c r="L91" s="2"/>
      <c r="M91" s="2"/>
    </row>
    <row r="92" spans="2:13" x14ac:dyDescent="0.25">
      <c r="B92" s="28" t="s">
        <v>74</v>
      </c>
      <c r="C92" s="2">
        <v>412</v>
      </c>
      <c r="D92" s="2">
        <v>416</v>
      </c>
      <c r="E92" s="2">
        <v>416</v>
      </c>
      <c r="F92" s="2">
        <v>286</v>
      </c>
      <c r="G92" s="2">
        <v>286</v>
      </c>
      <c r="H92" s="2">
        <v>284</v>
      </c>
      <c r="I92" s="2">
        <v>286</v>
      </c>
      <c r="J92" s="2">
        <v>286</v>
      </c>
      <c r="K92" s="2">
        <v>286</v>
      </c>
      <c r="L92" s="2">
        <v>286</v>
      </c>
      <c r="M92" s="2">
        <v>286</v>
      </c>
    </row>
    <row r="93" spans="2:13" x14ac:dyDescent="0.25">
      <c r="B93" s="28" t="s">
        <v>75</v>
      </c>
      <c r="C93" s="74">
        <v>15</v>
      </c>
      <c r="D93" s="74">
        <v>4</v>
      </c>
      <c r="E93" s="74">
        <v>4</v>
      </c>
      <c r="F93" s="74">
        <v>4</v>
      </c>
      <c r="G93" s="2">
        <v>4</v>
      </c>
      <c r="H93" s="2">
        <v>4</v>
      </c>
      <c r="I93" s="2">
        <v>4</v>
      </c>
      <c r="J93" s="2">
        <v>4</v>
      </c>
      <c r="K93" s="2">
        <v>4</v>
      </c>
      <c r="L93" s="2">
        <v>4</v>
      </c>
      <c r="M93" s="2">
        <v>4</v>
      </c>
    </row>
    <row r="94" spans="2:13" x14ac:dyDescent="0.25">
      <c r="B94" s="2"/>
      <c r="C94" s="2"/>
      <c r="D94" s="2"/>
      <c r="E94" s="2"/>
      <c r="F94" s="2"/>
      <c r="G94" s="2"/>
      <c r="H94" s="2"/>
      <c r="I94" s="2"/>
      <c r="J94" s="2"/>
      <c r="K94" s="2"/>
      <c r="L94" s="2"/>
      <c r="M94" s="2"/>
    </row>
    <row r="95" spans="2:13" x14ac:dyDescent="0.25">
      <c r="B95" s="22" t="s">
        <v>71</v>
      </c>
      <c r="C95" s="2"/>
      <c r="D95" s="2"/>
      <c r="E95" s="2"/>
      <c r="F95" s="2"/>
      <c r="G95" s="2"/>
      <c r="H95" s="2"/>
      <c r="I95" s="2"/>
      <c r="J95" s="2"/>
      <c r="K95" s="2"/>
      <c r="L95" s="2"/>
      <c r="M95" s="2"/>
    </row>
    <row r="96" spans="2:13" x14ac:dyDescent="0.25">
      <c r="B96" s="28" t="s">
        <v>73</v>
      </c>
      <c r="C96" s="2"/>
      <c r="D96" s="2"/>
      <c r="E96" s="2"/>
      <c r="F96" s="2"/>
      <c r="G96" s="2"/>
      <c r="H96" s="2"/>
      <c r="I96" s="2"/>
      <c r="J96" s="2"/>
      <c r="K96" s="2"/>
      <c r="L96" s="2"/>
      <c r="M96" s="2"/>
    </row>
    <row r="97" spans="2:13" x14ac:dyDescent="0.25">
      <c r="B97" s="11" t="s">
        <v>76</v>
      </c>
      <c r="C97" s="2"/>
      <c r="D97" s="2"/>
      <c r="E97" s="2"/>
      <c r="F97" s="2"/>
      <c r="G97" s="2"/>
      <c r="H97" s="2"/>
      <c r="I97" s="2"/>
      <c r="J97" s="2"/>
      <c r="K97" s="2"/>
      <c r="L97" s="2"/>
      <c r="M97" s="2"/>
    </row>
    <row r="98" spans="2:13" x14ac:dyDescent="0.25">
      <c r="B98" s="28" t="s">
        <v>74</v>
      </c>
      <c r="C98" s="2"/>
      <c r="D98" s="2"/>
      <c r="E98" s="2"/>
      <c r="F98" s="2"/>
      <c r="G98" s="2"/>
      <c r="H98" s="2"/>
      <c r="I98" s="2"/>
      <c r="J98" s="2"/>
      <c r="K98" s="2"/>
      <c r="L98" s="2"/>
      <c r="M98" s="2"/>
    </row>
    <row r="99" spans="2:13" x14ac:dyDescent="0.25">
      <c r="B99" s="28" t="s">
        <v>75</v>
      </c>
      <c r="C99" s="2"/>
      <c r="D99" s="2"/>
      <c r="E99" s="2"/>
      <c r="F99" s="2"/>
      <c r="G99" s="2"/>
      <c r="H99" s="2"/>
      <c r="I99" s="2"/>
      <c r="J99" s="2"/>
      <c r="K99" s="2"/>
      <c r="L99" s="2"/>
      <c r="M99" s="2"/>
    </row>
    <row r="100" spans="2:13" x14ac:dyDescent="0.25">
      <c r="B100" s="2"/>
      <c r="C100" s="2"/>
      <c r="D100" s="2"/>
      <c r="E100" s="2"/>
      <c r="F100" s="2"/>
      <c r="G100" s="2"/>
      <c r="H100" s="2"/>
      <c r="I100" s="2"/>
      <c r="J100" s="2"/>
      <c r="K100" s="2"/>
      <c r="L100" s="2"/>
      <c r="M100" s="2"/>
    </row>
    <row r="101" spans="2:13" x14ac:dyDescent="0.25">
      <c r="B101" s="22" t="s">
        <v>72</v>
      </c>
      <c r="C101" s="72">
        <f>C84+C90+C96</f>
        <v>73</v>
      </c>
      <c r="D101" s="72">
        <f t="shared" ref="D101:G101" si="6">D84+D90+D96</f>
        <v>65</v>
      </c>
      <c r="E101" s="72">
        <f t="shared" si="6"/>
        <v>67</v>
      </c>
      <c r="F101" s="72">
        <f t="shared" si="6"/>
        <v>69</v>
      </c>
      <c r="G101" s="72">
        <f t="shared" si="6"/>
        <v>69</v>
      </c>
      <c r="H101" s="72">
        <f t="shared" ref="H101:I101" si="7">H84+H90+H96</f>
        <v>64</v>
      </c>
      <c r="I101" s="72">
        <f t="shared" si="7"/>
        <v>57</v>
      </c>
      <c r="J101" s="72">
        <f t="shared" ref="J101:K101" si="8">J84+J90+J96</f>
        <v>57</v>
      </c>
      <c r="K101" s="72">
        <f t="shared" si="8"/>
        <v>57</v>
      </c>
      <c r="L101" s="72">
        <f t="shared" ref="L101" si="9">L84+L90+L96</f>
        <v>56</v>
      </c>
      <c r="M101" s="72">
        <f>M84+M90+M96</f>
        <v>55</v>
      </c>
    </row>
    <row r="102" spans="2:13" x14ac:dyDescent="0.25">
      <c r="B102" s="6"/>
    </row>
    <row r="103" spans="2:13" x14ac:dyDescent="0.25">
      <c r="B103" s="63" t="s">
        <v>304</v>
      </c>
    </row>
    <row r="104" spans="2:13" x14ac:dyDescent="0.25">
      <c r="B104" s="63" t="s">
        <v>280</v>
      </c>
    </row>
    <row r="105" spans="2:13" x14ac:dyDescent="0.25">
      <c r="B105" s="63" t="s">
        <v>301</v>
      </c>
    </row>
    <row r="108" spans="2:13" ht="18.75" x14ac:dyDescent="0.3">
      <c r="B108" s="15" t="s">
        <v>368</v>
      </c>
      <c r="C108" s="16">
        <v>2014</v>
      </c>
      <c r="D108" s="16">
        <v>2015</v>
      </c>
      <c r="E108" s="16">
        <v>2016</v>
      </c>
      <c r="F108" s="16">
        <v>2017</v>
      </c>
      <c r="G108" s="16">
        <v>2018</v>
      </c>
      <c r="H108" s="16">
        <v>2019</v>
      </c>
      <c r="I108" s="16">
        <v>2020</v>
      </c>
      <c r="J108" s="16">
        <v>2021</v>
      </c>
      <c r="K108" s="16">
        <v>2022</v>
      </c>
      <c r="L108" s="16">
        <v>2023</v>
      </c>
      <c r="M108" s="16">
        <v>2024</v>
      </c>
    </row>
    <row r="109" spans="2:13" x14ac:dyDescent="0.25">
      <c r="B109" s="22" t="s">
        <v>69</v>
      </c>
      <c r="C109" s="2"/>
      <c r="D109" s="2"/>
      <c r="E109" s="2"/>
      <c r="F109" s="2"/>
      <c r="G109" s="10"/>
      <c r="H109" s="10"/>
      <c r="I109" s="10"/>
      <c r="J109" s="10"/>
      <c r="K109" s="10"/>
      <c r="L109" s="10"/>
      <c r="M109" s="10"/>
    </row>
    <row r="110" spans="2:13" x14ac:dyDescent="0.25">
      <c r="B110" s="28" t="s">
        <v>73</v>
      </c>
      <c r="C110" s="30">
        <v>20</v>
      </c>
      <c r="D110" s="30">
        <v>20</v>
      </c>
      <c r="E110" s="30">
        <v>19</v>
      </c>
      <c r="F110" s="29">
        <v>18</v>
      </c>
      <c r="G110" s="2">
        <v>18</v>
      </c>
      <c r="H110" s="2">
        <v>18</v>
      </c>
      <c r="I110" s="2">
        <v>18</v>
      </c>
      <c r="J110" s="2">
        <v>19</v>
      </c>
      <c r="K110" s="2">
        <v>19</v>
      </c>
      <c r="L110" s="2">
        <v>19</v>
      </c>
      <c r="M110" s="2">
        <v>18</v>
      </c>
    </row>
    <row r="111" spans="2:13" x14ac:dyDescent="0.25">
      <c r="B111" s="11" t="s">
        <v>76</v>
      </c>
      <c r="C111" s="2"/>
      <c r="D111" s="2"/>
      <c r="E111" s="2"/>
      <c r="F111" s="2"/>
      <c r="G111" s="10"/>
      <c r="H111" s="10"/>
      <c r="I111" s="10"/>
      <c r="J111" s="10"/>
      <c r="K111" s="10"/>
      <c r="L111" s="10"/>
      <c r="M111" s="10"/>
    </row>
    <row r="112" spans="2:13" x14ac:dyDescent="0.25">
      <c r="B112" s="28" t="s">
        <v>74</v>
      </c>
      <c r="C112" s="30">
        <v>120</v>
      </c>
      <c r="D112" s="30">
        <v>120</v>
      </c>
      <c r="E112" s="30">
        <v>120</v>
      </c>
      <c r="F112" s="30">
        <v>120</v>
      </c>
      <c r="G112" s="70">
        <v>127</v>
      </c>
      <c r="H112" s="70">
        <v>150</v>
      </c>
      <c r="I112" s="70">
        <v>170</v>
      </c>
      <c r="J112" s="70">
        <v>183</v>
      </c>
      <c r="K112" s="70">
        <v>216</v>
      </c>
      <c r="L112" s="70">
        <v>240</v>
      </c>
      <c r="M112" s="70">
        <v>342</v>
      </c>
    </row>
    <row r="113" spans="2:13" x14ac:dyDescent="0.25">
      <c r="B113" s="28" t="s">
        <v>75</v>
      </c>
      <c r="C113" s="30">
        <v>12</v>
      </c>
      <c r="D113" s="30">
        <v>12</v>
      </c>
      <c r="E113" s="30">
        <v>12</v>
      </c>
      <c r="F113" s="29">
        <v>12</v>
      </c>
      <c r="G113" s="18">
        <v>12</v>
      </c>
      <c r="H113" s="18">
        <v>6</v>
      </c>
      <c r="I113" s="18">
        <v>6</v>
      </c>
      <c r="J113" s="18">
        <v>6</v>
      </c>
      <c r="K113" s="18">
        <v>6</v>
      </c>
      <c r="L113" s="18">
        <v>8</v>
      </c>
      <c r="M113" s="18">
        <v>6</v>
      </c>
    </row>
    <row r="114" spans="2:13" x14ac:dyDescent="0.25">
      <c r="B114" s="2"/>
      <c r="C114" s="2"/>
      <c r="D114" s="2"/>
      <c r="E114" s="2"/>
      <c r="F114" s="2"/>
      <c r="G114" s="8"/>
      <c r="H114" s="8"/>
      <c r="I114" s="8"/>
      <c r="J114" s="8"/>
      <c r="K114" s="8"/>
      <c r="L114" s="8"/>
      <c r="M114" s="8"/>
    </row>
    <row r="115" spans="2:13" x14ac:dyDescent="0.25">
      <c r="B115" s="22" t="s">
        <v>70</v>
      </c>
      <c r="C115" s="2"/>
      <c r="D115" s="2"/>
      <c r="E115" s="2"/>
      <c r="F115" s="2"/>
      <c r="G115" s="2"/>
      <c r="H115" s="2"/>
      <c r="I115" s="2"/>
      <c r="J115" s="2"/>
      <c r="K115" s="2"/>
      <c r="L115" s="2"/>
      <c r="M115" s="2"/>
    </row>
    <row r="116" spans="2:13" x14ac:dyDescent="0.25">
      <c r="B116" s="28" t="s">
        <v>73</v>
      </c>
      <c r="C116" s="2">
        <v>36</v>
      </c>
      <c r="D116" s="2">
        <v>36</v>
      </c>
      <c r="E116" s="2">
        <v>35</v>
      </c>
      <c r="F116" s="2">
        <v>34</v>
      </c>
      <c r="G116" s="2">
        <v>33</v>
      </c>
      <c r="H116" s="2">
        <v>33</v>
      </c>
      <c r="I116" s="2">
        <v>33</v>
      </c>
      <c r="J116" s="2">
        <v>33</v>
      </c>
      <c r="K116" s="2">
        <v>34</v>
      </c>
      <c r="L116" s="2">
        <v>34</v>
      </c>
      <c r="M116" s="2">
        <v>34</v>
      </c>
    </row>
    <row r="117" spans="2:13" x14ac:dyDescent="0.25">
      <c r="B117" s="11" t="s">
        <v>76</v>
      </c>
      <c r="C117" s="2"/>
      <c r="D117" s="2"/>
      <c r="E117" s="2"/>
      <c r="F117" s="2"/>
      <c r="G117" s="19"/>
      <c r="H117" s="19"/>
      <c r="I117" s="19"/>
      <c r="J117" s="19"/>
      <c r="K117" s="19"/>
      <c r="L117" s="19"/>
      <c r="M117" s="19"/>
    </row>
    <row r="118" spans="2:13" x14ac:dyDescent="0.25">
      <c r="B118" s="28" t="s">
        <v>74</v>
      </c>
      <c r="C118" s="2">
        <v>405</v>
      </c>
      <c r="D118" s="2">
        <v>405</v>
      </c>
      <c r="E118" s="2">
        <v>405</v>
      </c>
      <c r="F118" s="2">
        <v>405</v>
      </c>
      <c r="G118" s="19">
        <v>420</v>
      </c>
      <c r="H118" s="19">
        <v>476</v>
      </c>
      <c r="I118" s="19">
        <v>505</v>
      </c>
      <c r="J118" s="19">
        <v>517</v>
      </c>
      <c r="K118" s="19">
        <v>517</v>
      </c>
      <c r="L118" s="19">
        <v>529</v>
      </c>
      <c r="M118" s="19">
        <v>681</v>
      </c>
    </row>
    <row r="119" spans="2:13" x14ac:dyDescent="0.25">
      <c r="B119" s="28" t="s">
        <v>75</v>
      </c>
      <c r="C119" s="2">
        <v>5</v>
      </c>
      <c r="D119" s="2">
        <v>5</v>
      </c>
      <c r="E119" s="2">
        <v>5</v>
      </c>
      <c r="F119" s="2">
        <v>5</v>
      </c>
      <c r="G119" s="19">
        <v>9</v>
      </c>
      <c r="H119" s="19">
        <v>9</v>
      </c>
      <c r="I119" s="19">
        <v>9</v>
      </c>
      <c r="J119" s="19">
        <v>9</v>
      </c>
      <c r="K119" s="19">
        <v>12</v>
      </c>
      <c r="L119" s="19">
        <v>14</v>
      </c>
      <c r="M119" s="19">
        <v>52</v>
      </c>
    </row>
    <row r="120" spans="2:13" x14ac:dyDescent="0.25">
      <c r="B120" s="2"/>
      <c r="C120" s="2"/>
      <c r="D120" s="2"/>
      <c r="E120" s="2"/>
      <c r="F120" s="2"/>
      <c r="G120" s="8"/>
      <c r="H120" s="8"/>
      <c r="I120" s="8"/>
      <c r="J120" s="8"/>
      <c r="K120" s="8"/>
      <c r="L120" s="8"/>
      <c r="M120" s="8"/>
    </row>
    <row r="121" spans="2:13" x14ac:dyDescent="0.25">
      <c r="B121" s="22" t="s">
        <v>71</v>
      </c>
      <c r="C121" s="2"/>
      <c r="D121" s="2"/>
      <c r="E121" s="2"/>
      <c r="F121" s="2"/>
      <c r="G121" s="8"/>
      <c r="H121" s="8"/>
      <c r="I121" s="8"/>
      <c r="J121" s="8"/>
      <c r="K121" s="8"/>
      <c r="L121" s="8"/>
      <c r="M121" s="8"/>
    </row>
    <row r="122" spans="2:13" x14ac:dyDescent="0.25">
      <c r="B122" s="28" t="s">
        <v>73</v>
      </c>
      <c r="C122" s="2">
        <v>32</v>
      </c>
      <c r="D122" s="2">
        <v>31</v>
      </c>
      <c r="E122" s="2">
        <v>31</v>
      </c>
      <c r="F122" s="2">
        <v>32</v>
      </c>
      <c r="G122" s="19">
        <v>32</v>
      </c>
      <c r="H122" s="19">
        <v>32</v>
      </c>
      <c r="I122" s="19">
        <v>36</v>
      </c>
      <c r="J122" s="19">
        <v>35</v>
      </c>
      <c r="K122" s="19">
        <v>35</v>
      </c>
      <c r="L122" s="19">
        <v>42</v>
      </c>
      <c r="M122" s="19">
        <v>44</v>
      </c>
    </row>
    <row r="123" spans="2:13" x14ac:dyDescent="0.25">
      <c r="B123" s="11" t="s">
        <v>76</v>
      </c>
      <c r="C123" s="2"/>
      <c r="D123" s="2"/>
      <c r="E123" s="2"/>
      <c r="F123" s="2"/>
      <c r="G123" s="19"/>
      <c r="H123" s="19"/>
      <c r="I123" s="19"/>
      <c r="J123" s="19"/>
      <c r="K123" s="19"/>
      <c r="L123" s="19"/>
      <c r="M123" s="19"/>
    </row>
    <row r="124" spans="2:13" x14ac:dyDescent="0.25">
      <c r="B124" s="28" t="s">
        <v>74</v>
      </c>
      <c r="C124" s="2">
        <v>240</v>
      </c>
      <c r="D124" s="2">
        <v>259</v>
      </c>
      <c r="E124" s="2">
        <v>288</v>
      </c>
      <c r="F124" s="2">
        <v>284</v>
      </c>
      <c r="G124" s="70">
        <v>331</v>
      </c>
      <c r="H124" s="70">
        <v>339</v>
      </c>
      <c r="I124" s="70">
        <v>310</v>
      </c>
      <c r="J124" s="70">
        <v>328</v>
      </c>
      <c r="K124" s="70">
        <v>328</v>
      </c>
      <c r="L124" s="70">
        <v>340</v>
      </c>
      <c r="M124" s="70">
        <v>349</v>
      </c>
    </row>
    <row r="125" spans="2:13" x14ac:dyDescent="0.25">
      <c r="B125" s="28" t="s">
        <v>75</v>
      </c>
      <c r="C125" s="2">
        <v>9</v>
      </c>
      <c r="D125" s="2">
        <v>8</v>
      </c>
      <c r="E125" s="23">
        <v>9</v>
      </c>
      <c r="F125" s="23">
        <v>9</v>
      </c>
      <c r="G125" s="70">
        <v>9</v>
      </c>
      <c r="H125" s="70">
        <v>8</v>
      </c>
      <c r="I125" s="70">
        <v>9</v>
      </c>
      <c r="J125" s="70">
        <v>5</v>
      </c>
      <c r="K125" s="70">
        <v>13</v>
      </c>
      <c r="L125" s="70">
        <v>13</v>
      </c>
      <c r="M125" s="70">
        <v>13</v>
      </c>
    </row>
    <row r="126" spans="2:13" x14ac:dyDescent="0.25">
      <c r="B126" s="2"/>
      <c r="C126" s="2"/>
      <c r="D126" s="2"/>
      <c r="E126" s="2"/>
      <c r="F126" s="2"/>
    </row>
    <row r="127" spans="2:13" x14ac:dyDescent="0.25">
      <c r="B127" s="22" t="s">
        <v>72</v>
      </c>
      <c r="C127" s="10">
        <f t="shared" ref="C127:D127" si="10">C110+C116+C122</f>
        <v>88</v>
      </c>
      <c r="D127" s="10">
        <f t="shared" si="10"/>
        <v>87</v>
      </c>
      <c r="E127" s="10">
        <f t="shared" ref="E127:J127" si="11">E110+E116+E122</f>
        <v>85</v>
      </c>
      <c r="F127" s="10">
        <f t="shared" si="11"/>
        <v>84</v>
      </c>
      <c r="G127" s="10">
        <f t="shared" si="11"/>
        <v>83</v>
      </c>
      <c r="H127" s="10">
        <f t="shared" si="11"/>
        <v>83</v>
      </c>
      <c r="I127" s="10">
        <f t="shared" si="11"/>
        <v>87</v>
      </c>
      <c r="J127" s="10">
        <f t="shared" si="11"/>
        <v>87</v>
      </c>
      <c r="K127" s="10">
        <f t="shared" ref="K127:L127" si="12">K110+K116+K122</f>
        <v>88</v>
      </c>
      <c r="L127" s="10">
        <f t="shared" si="12"/>
        <v>95</v>
      </c>
      <c r="M127" s="10">
        <f t="shared" ref="M127" si="13">M110+M116+M122</f>
        <v>96</v>
      </c>
    </row>
    <row r="128" spans="2:13" x14ac:dyDescent="0.25">
      <c r="B128" s="6"/>
    </row>
    <row r="129" spans="2:2" x14ac:dyDescent="0.25">
      <c r="B129" s="63"/>
    </row>
    <row r="130" spans="2:2" x14ac:dyDescent="0.25">
      <c r="B130" s="6"/>
    </row>
    <row r="131" spans="2:2" x14ac:dyDescent="0.25">
      <c r="B131" s="7"/>
    </row>
  </sheetData>
  <pageMargins left="0.7" right="0.7" top="0.75" bottom="0.75" header="0.3" footer="0.3"/>
  <pageSetup paperSize="9" orientation="portrait" r:id="rId1"/>
  <ignoredErrors>
    <ignoredError sqref="C49:E49 C75:G75 C101:G101 H101:L101 H75:L75 G49 F49 H49:L4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M132"/>
  <sheetViews>
    <sheetView zoomScaleNormal="100" workbookViewId="0">
      <pane ySplit="2" topLeftCell="A3" activePane="bottomLeft" state="frozen"/>
      <selection activeCell="K42" sqref="K42"/>
      <selection pane="bottomLeft"/>
    </sheetView>
  </sheetViews>
  <sheetFormatPr defaultColWidth="9" defaultRowHeight="15" x14ac:dyDescent="0.25"/>
  <cols>
    <col min="1" max="1" width="1.625" style="1" customWidth="1"/>
    <col min="2" max="2" width="44" style="1" customWidth="1"/>
    <col min="3" max="10" width="10" style="1" customWidth="1"/>
    <col min="11" max="16384" width="9" style="1"/>
  </cols>
  <sheetData>
    <row r="2" spans="2:13" ht="18.75" x14ac:dyDescent="0.3">
      <c r="B2" s="4" t="s">
        <v>11</v>
      </c>
    </row>
    <row r="3" spans="2:13" ht="18.75" x14ac:dyDescent="0.3">
      <c r="B3" s="4"/>
    </row>
    <row r="4" spans="2:13" ht="18.75" x14ac:dyDescent="0.3">
      <c r="B4" s="15" t="s">
        <v>263</v>
      </c>
      <c r="C4" s="16">
        <v>2014</v>
      </c>
      <c r="D4" s="16">
        <v>2015</v>
      </c>
      <c r="E4" s="16">
        <v>2016</v>
      </c>
      <c r="F4" s="16">
        <v>2017</v>
      </c>
      <c r="G4" s="16">
        <v>2018</v>
      </c>
      <c r="H4" s="16">
        <v>2019</v>
      </c>
      <c r="I4" s="16">
        <v>2020</v>
      </c>
      <c r="J4" s="16">
        <v>2021</v>
      </c>
      <c r="K4" s="16">
        <v>2022</v>
      </c>
      <c r="L4" s="16">
        <v>2023</v>
      </c>
      <c r="M4" s="16">
        <v>2024</v>
      </c>
    </row>
    <row r="5" spans="2:13" x14ac:dyDescent="0.25">
      <c r="B5" s="22" t="s">
        <v>62</v>
      </c>
    </row>
    <row r="6" spans="2:13" x14ac:dyDescent="0.25">
      <c r="B6" s="11" t="s">
        <v>81</v>
      </c>
      <c r="C6" s="10">
        <v>1298</v>
      </c>
      <c r="D6" s="9">
        <v>1203</v>
      </c>
      <c r="E6" s="9">
        <v>1099</v>
      </c>
      <c r="F6" s="9">
        <v>1119</v>
      </c>
      <c r="G6" s="10">
        <v>1101</v>
      </c>
      <c r="H6" s="10">
        <v>1127</v>
      </c>
      <c r="I6" s="10">
        <v>1126</v>
      </c>
      <c r="J6" s="10">
        <v>1093.4000000000001</v>
      </c>
      <c r="K6" s="109">
        <v>1145.49315068493</v>
      </c>
      <c r="L6" s="10">
        <v>1089.90410958904</v>
      </c>
      <c r="M6" s="10">
        <v>1001.1557377049201</v>
      </c>
    </row>
    <row r="7" spans="2:13" x14ac:dyDescent="0.25">
      <c r="B7" s="11" t="s">
        <v>82</v>
      </c>
      <c r="C7" s="9">
        <v>1213</v>
      </c>
      <c r="D7" s="9">
        <v>1079</v>
      </c>
      <c r="E7" s="9">
        <v>1047.8</v>
      </c>
      <c r="F7" s="9">
        <v>1050</v>
      </c>
      <c r="G7" s="10">
        <v>1071.9000000000001</v>
      </c>
      <c r="H7" s="10">
        <v>1115</v>
      </c>
      <c r="I7" s="10">
        <v>1057</v>
      </c>
      <c r="J7" s="10">
        <v>1082.7</v>
      </c>
      <c r="K7" s="109">
        <v>1096.1068493150699</v>
      </c>
      <c r="L7" s="10">
        <v>1053.6712328767101</v>
      </c>
      <c r="M7" s="10">
        <v>1027.5054644808699</v>
      </c>
    </row>
    <row r="8" spans="2:13" x14ac:dyDescent="0.25">
      <c r="B8" s="12" t="s">
        <v>83</v>
      </c>
      <c r="C8" s="8">
        <f>+C7/C6*100</f>
        <v>93.451463790446837</v>
      </c>
      <c r="D8" s="8">
        <f t="shared" ref="D8:K8" si="0">+D7/D6*100</f>
        <v>89.692435577722364</v>
      </c>
      <c r="E8" s="8">
        <f t="shared" si="0"/>
        <v>95.341219290263865</v>
      </c>
      <c r="F8" s="8">
        <f t="shared" si="0"/>
        <v>93.833780160857899</v>
      </c>
      <c r="G8" s="8">
        <f t="shared" si="0"/>
        <v>97.356948228882842</v>
      </c>
      <c r="H8" s="8">
        <f t="shared" si="0"/>
        <v>98.935226264418802</v>
      </c>
      <c r="I8" s="8">
        <f t="shared" si="0"/>
        <v>93.8721136767318</v>
      </c>
      <c r="J8" s="8">
        <f t="shared" si="0"/>
        <v>99.021401134077195</v>
      </c>
      <c r="K8" s="8">
        <f t="shared" si="0"/>
        <v>95.688642805037261</v>
      </c>
      <c r="L8" s="8">
        <f t="shared" ref="L8:M8" si="1">+L7/L6*100</f>
        <v>96.675590412628878</v>
      </c>
      <c r="M8" s="8">
        <f t="shared" si="1"/>
        <v>102.63193085586812</v>
      </c>
    </row>
    <row r="9" spans="2:13" x14ac:dyDescent="0.25">
      <c r="B9" s="2"/>
      <c r="C9" s="2"/>
      <c r="D9" s="2"/>
      <c r="E9" s="2"/>
      <c r="F9" s="2"/>
      <c r="G9" s="10"/>
      <c r="H9" s="10"/>
      <c r="I9" s="10"/>
      <c r="J9" s="10"/>
      <c r="K9" s="109"/>
      <c r="L9" s="10"/>
      <c r="M9" s="10"/>
    </row>
    <row r="10" spans="2:13" x14ac:dyDescent="0.25">
      <c r="B10" s="22" t="s">
        <v>78</v>
      </c>
      <c r="C10" s="10"/>
      <c r="D10" s="10"/>
      <c r="E10" s="2"/>
      <c r="F10" s="2"/>
      <c r="G10" s="10"/>
      <c r="H10" s="10"/>
      <c r="I10" s="10"/>
      <c r="J10" s="10"/>
      <c r="K10" s="109"/>
      <c r="L10" s="10"/>
      <c r="M10" s="10"/>
    </row>
    <row r="11" spans="2:13" x14ac:dyDescent="0.25">
      <c r="B11" s="11" t="s">
        <v>81</v>
      </c>
      <c r="C11" s="10">
        <v>921</v>
      </c>
      <c r="D11" s="10">
        <v>931</v>
      </c>
      <c r="E11" s="9">
        <v>898.2</v>
      </c>
      <c r="F11" s="2">
        <v>885</v>
      </c>
      <c r="G11" s="10">
        <v>942.4</v>
      </c>
      <c r="H11" s="10">
        <v>1012</v>
      </c>
      <c r="I11" s="10">
        <v>1060</v>
      </c>
      <c r="J11" s="10">
        <v>1069</v>
      </c>
      <c r="K11" s="109">
        <v>1104</v>
      </c>
      <c r="L11" s="10">
        <v>1093.3424657534199</v>
      </c>
      <c r="M11" s="10">
        <v>1080.45355191257</v>
      </c>
    </row>
    <row r="12" spans="2:13" x14ac:dyDescent="0.25">
      <c r="B12" s="11" t="s">
        <v>82</v>
      </c>
      <c r="C12" s="9">
        <v>880</v>
      </c>
      <c r="D12" s="10">
        <v>849</v>
      </c>
      <c r="E12" s="9">
        <v>848.6</v>
      </c>
      <c r="F12" s="2">
        <v>854</v>
      </c>
      <c r="G12" s="10">
        <v>935.9</v>
      </c>
      <c r="H12" s="10">
        <v>1003</v>
      </c>
      <c r="I12" s="10">
        <v>1053</v>
      </c>
      <c r="J12" s="10">
        <v>1086</v>
      </c>
      <c r="K12" s="109">
        <v>1127.4000000000001</v>
      </c>
      <c r="L12" s="10">
        <v>1119.1506849315101</v>
      </c>
      <c r="M12" s="10">
        <v>1126.1174863388001</v>
      </c>
    </row>
    <row r="13" spans="2:13" x14ac:dyDescent="0.25">
      <c r="B13" s="12" t="s">
        <v>83</v>
      </c>
      <c r="C13" s="67">
        <f>+C12/C11*100</f>
        <v>95.548317046688382</v>
      </c>
      <c r="D13" s="67">
        <f t="shared" ref="D13:K13" si="2">+D12/D11*100</f>
        <v>91.192266380236305</v>
      </c>
      <c r="E13" s="67">
        <f t="shared" si="2"/>
        <v>94.47784457804498</v>
      </c>
      <c r="F13" s="67">
        <f t="shared" si="2"/>
        <v>96.497175141242934</v>
      </c>
      <c r="G13" s="67">
        <f t="shared" si="2"/>
        <v>99.310271646859078</v>
      </c>
      <c r="H13" s="67">
        <f t="shared" si="2"/>
        <v>99.110671936758905</v>
      </c>
      <c r="I13" s="67">
        <f t="shared" si="2"/>
        <v>99.339622641509422</v>
      </c>
      <c r="J13" s="116">
        <f t="shared" si="2"/>
        <v>101.59027128157156</v>
      </c>
      <c r="K13" s="116">
        <f t="shared" si="2"/>
        <v>102.11956521739131</v>
      </c>
      <c r="L13" s="116">
        <f t="shared" ref="L13:M13" si="3">+L12/L11*100</f>
        <v>102.36048813491443</v>
      </c>
      <c r="M13" s="116">
        <f t="shared" si="3"/>
        <v>104.22636719046348</v>
      </c>
    </row>
    <row r="14" spans="2:13" x14ac:dyDescent="0.25">
      <c r="B14" s="2"/>
      <c r="C14" s="10"/>
      <c r="D14" s="10"/>
      <c r="E14" s="2"/>
      <c r="F14" s="2"/>
      <c r="G14" s="10"/>
      <c r="H14" s="10"/>
      <c r="I14" s="10"/>
      <c r="J14" s="10"/>
      <c r="K14" s="109"/>
      <c r="L14" s="10"/>
      <c r="M14" s="10"/>
    </row>
    <row r="15" spans="2:13" x14ac:dyDescent="0.25">
      <c r="B15" s="22" t="s">
        <v>79</v>
      </c>
      <c r="C15" s="10"/>
      <c r="D15" s="10"/>
      <c r="E15" s="2"/>
      <c r="F15" s="2"/>
      <c r="G15" s="10"/>
      <c r="H15" s="10"/>
      <c r="I15" s="10"/>
      <c r="J15" s="10"/>
      <c r="K15" s="109"/>
      <c r="L15" s="10"/>
      <c r="M15" s="10"/>
    </row>
    <row r="16" spans="2:13" x14ac:dyDescent="0.25">
      <c r="B16" s="11" t="s">
        <v>81</v>
      </c>
      <c r="C16" s="10">
        <v>1802</v>
      </c>
      <c r="D16" s="10">
        <v>1641.9</v>
      </c>
      <c r="E16" s="10">
        <v>1592.9</v>
      </c>
      <c r="F16" s="10">
        <v>1609</v>
      </c>
      <c r="G16" s="10">
        <v>1712.1</v>
      </c>
      <c r="H16" s="10">
        <v>1802</v>
      </c>
      <c r="I16" s="10">
        <v>1888</v>
      </c>
      <c r="J16" s="10">
        <v>1997</v>
      </c>
      <c r="K16" s="109">
        <v>1979.1589041095899</v>
      </c>
      <c r="L16" s="10">
        <v>1957.2</v>
      </c>
      <c r="M16" s="10">
        <v>2040.5519125683099</v>
      </c>
    </row>
    <row r="17" spans="2:13" x14ac:dyDescent="0.25">
      <c r="B17" s="11" t="s">
        <v>82</v>
      </c>
      <c r="C17" s="9">
        <v>1691</v>
      </c>
      <c r="D17" s="10">
        <v>1493.9</v>
      </c>
      <c r="E17" s="9">
        <v>1524</v>
      </c>
      <c r="F17" s="9">
        <v>1546</v>
      </c>
      <c r="G17" s="10">
        <v>1730.6</v>
      </c>
      <c r="H17" s="10">
        <v>1856</v>
      </c>
      <c r="I17" s="10">
        <v>1975</v>
      </c>
      <c r="J17" s="10">
        <v>2000</v>
      </c>
      <c r="K17" s="109">
        <v>1988.5698630136999</v>
      </c>
      <c r="L17" s="10">
        <v>2018.6082191780799</v>
      </c>
      <c r="M17" s="10">
        <v>1997.53825136612</v>
      </c>
    </row>
    <row r="18" spans="2:13" x14ac:dyDescent="0.25">
      <c r="B18" s="12" t="s">
        <v>83</v>
      </c>
      <c r="C18" s="67">
        <f>+C17/C16*100</f>
        <v>93.840177580466147</v>
      </c>
      <c r="D18" s="67">
        <f t="shared" ref="D18:G18" si="4">+D17/D16*100</f>
        <v>90.986052743772461</v>
      </c>
      <c r="E18" s="67">
        <f t="shared" si="4"/>
        <v>95.674555841546862</v>
      </c>
      <c r="F18" s="67">
        <f t="shared" si="4"/>
        <v>96.084524549409565</v>
      </c>
      <c r="G18" s="67">
        <f t="shared" si="4"/>
        <v>101.08054436072661</v>
      </c>
      <c r="H18" s="67">
        <f t="shared" ref="H18:K18" si="5">+H17/H16*100</f>
        <v>102.99667036625971</v>
      </c>
      <c r="I18" s="67">
        <f t="shared" si="5"/>
        <v>104.60805084745763</v>
      </c>
      <c r="J18" s="116">
        <f t="shared" si="5"/>
        <v>100.15022533800702</v>
      </c>
      <c r="K18" s="116">
        <f t="shared" si="5"/>
        <v>100.47550294645715</v>
      </c>
      <c r="L18" s="116">
        <f t="shared" ref="L18:M18" si="6">+L17/L16*100</f>
        <v>103.13755462794197</v>
      </c>
      <c r="M18" s="116">
        <f t="shared" si="6"/>
        <v>97.892057490071323</v>
      </c>
    </row>
    <row r="19" spans="2:13" x14ac:dyDescent="0.25">
      <c r="B19" s="2"/>
      <c r="C19" s="10"/>
      <c r="D19" s="10"/>
      <c r="E19" s="2"/>
      <c r="F19" s="2"/>
      <c r="G19" s="10"/>
      <c r="H19" s="10"/>
      <c r="I19" s="10"/>
      <c r="J19" s="10"/>
      <c r="K19" s="109"/>
      <c r="L19" s="10"/>
      <c r="M19" s="10"/>
    </row>
    <row r="20" spans="2:13" x14ac:dyDescent="0.25">
      <c r="B20" s="22" t="s">
        <v>80</v>
      </c>
      <c r="C20" s="10"/>
      <c r="D20" s="10"/>
      <c r="E20" s="2"/>
      <c r="F20" s="2"/>
      <c r="G20" s="10"/>
      <c r="H20" s="10"/>
      <c r="I20" s="10"/>
      <c r="J20" s="10"/>
      <c r="K20" s="109"/>
      <c r="L20" s="10"/>
      <c r="M20" s="10"/>
    </row>
    <row r="21" spans="2:13" x14ac:dyDescent="0.25">
      <c r="B21" s="11" t="s">
        <v>81</v>
      </c>
      <c r="C21" s="10">
        <v>4021</v>
      </c>
      <c r="D21" s="10">
        <v>3777</v>
      </c>
      <c r="E21" s="10">
        <v>3590.2</v>
      </c>
      <c r="F21" s="10">
        <v>3614</v>
      </c>
      <c r="G21" s="10">
        <v>3755.6</v>
      </c>
      <c r="H21" s="10">
        <v>3940</v>
      </c>
      <c r="I21" s="10">
        <v>4074</v>
      </c>
      <c r="J21" s="10">
        <v>4160</v>
      </c>
      <c r="K21" s="109">
        <v>4228.6520547945202</v>
      </c>
      <c r="L21" s="10">
        <v>4140.4465753424702</v>
      </c>
      <c r="M21" s="10">
        <v>4122.16120218579</v>
      </c>
    </row>
    <row r="22" spans="2:13" x14ac:dyDescent="0.25">
      <c r="B22" s="11" t="s">
        <v>82</v>
      </c>
      <c r="C22" s="10">
        <v>3784</v>
      </c>
      <c r="D22" s="10">
        <v>3421.6</v>
      </c>
      <c r="E22" s="10">
        <v>3420.5</v>
      </c>
      <c r="F22" s="10">
        <v>3450</v>
      </c>
      <c r="G22" s="10">
        <v>3738.4</v>
      </c>
      <c r="H22" s="10">
        <v>3974.3</v>
      </c>
      <c r="I22" s="10">
        <v>4085</v>
      </c>
      <c r="J22" s="10">
        <v>4169</v>
      </c>
      <c r="K22" s="109">
        <v>4212.0767123287696</v>
      </c>
      <c r="L22" s="10">
        <v>4191.4301369862997</v>
      </c>
      <c r="M22" s="10">
        <v>4151.16120218579</v>
      </c>
    </row>
    <row r="23" spans="2:13" x14ac:dyDescent="0.25">
      <c r="B23" s="12" t="s">
        <v>83</v>
      </c>
      <c r="C23" s="67">
        <f>+C22/C21*100</f>
        <v>94.105943795075859</v>
      </c>
      <c r="D23" s="67">
        <f t="shared" ref="D23:F23" si="7">+D22/D21*100</f>
        <v>90.590415673815201</v>
      </c>
      <c r="E23" s="67">
        <f t="shared" si="7"/>
        <v>95.273243830427276</v>
      </c>
      <c r="F23" s="67">
        <f t="shared" si="7"/>
        <v>95.462091864969565</v>
      </c>
      <c r="G23" s="67">
        <f>+G22/G21*100</f>
        <v>99.542017254233684</v>
      </c>
      <c r="H23" s="67">
        <f>+H22/H21*100</f>
        <v>100.87055837563452</v>
      </c>
      <c r="I23" s="67">
        <f t="shared" ref="I23:K23" si="8">+I22/I21*100</f>
        <v>100.27000490918016</v>
      </c>
      <c r="J23" s="116">
        <f t="shared" si="8"/>
        <v>100.21634615384616</v>
      </c>
      <c r="K23" s="116">
        <f t="shared" si="8"/>
        <v>99.608023023626231</v>
      </c>
      <c r="L23" s="116">
        <f t="shared" ref="L23:M23" si="9">+L22/L21*100</f>
        <v>101.23135417197389</v>
      </c>
      <c r="M23" s="116">
        <f t="shared" si="9"/>
        <v>100.70351445704313</v>
      </c>
    </row>
    <row r="24" spans="2:13" x14ac:dyDescent="0.25">
      <c r="B24" s="6"/>
    </row>
    <row r="25" spans="2:13" x14ac:dyDescent="0.25">
      <c r="B25" s="89" t="s">
        <v>327</v>
      </c>
    </row>
    <row r="26" spans="2:13" x14ac:dyDescent="0.25">
      <c r="B26" s="97" t="s">
        <v>396</v>
      </c>
    </row>
    <row r="27" spans="2:13" x14ac:dyDescent="0.25">
      <c r="B27" s="7"/>
    </row>
    <row r="30" spans="2:13" ht="18.75" x14ac:dyDescent="0.3">
      <c r="B30" s="15" t="s">
        <v>266</v>
      </c>
      <c r="C30" s="16">
        <v>2014</v>
      </c>
      <c r="D30" s="16">
        <v>2015</v>
      </c>
      <c r="E30" s="16">
        <v>2016</v>
      </c>
      <c r="F30" s="16">
        <v>2017</v>
      </c>
      <c r="G30" s="16">
        <v>2018</v>
      </c>
      <c r="H30" s="16">
        <v>2019</v>
      </c>
      <c r="I30" s="16">
        <v>2020</v>
      </c>
      <c r="J30" s="16">
        <v>2021</v>
      </c>
      <c r="K30" s="16">
        <v>2022</v>
      </c>
      <c r="L30" s="16">
        <v>2023</v>
      </c>
      <c r="M30" s="16">
        <v>2024</v>
      </c>
    </row>
    <row r="31" spans="2:13" x14ac:dyDescent="0.25">
      <c r="B31" s="22" t="s">
        <v>62</v>
      </c>
    </row>
    <row r="32" spans="2:13" x14ac:dyDescent="0.25">
      <c r="B32" s="11" t="s">
        <v>81</v>
      </c>
      <c r="C32" s="2">
        <v>939</v>
      </c>
      <c r="D32" s="2">
        <v>927</v>
      </c>
      <c r="E32" s="2">
        <v>965</v>
      </c>
      <c r="F32" s="2">
        <v>980</v>
      </c>
      <c r="G32" s="2">
        <v>973</v>
      </c>
      <c r="H32" s="2">
        <v>965</v>
      </c>
      <c r="I32" s="2">
        <v>941</v>
      </c>
      <c r="J32" s="2">
        <v>977</v>
      </c>
      <c r="K32" s="2">
        <v>977</v>
      </c>
      <c r="L32" s="2">
        <v>995</v>
      </c>
      <c r="M32" s="2">
        <v>986</v>
      </c>
    </row>
    <row r="33" spans="2:13" x14ac:dyDescent="0.25">
      <c r="B33" s="11" t="s">
        <v>82</v>
      </c>
      <c r="C33" s="2">
        <v>740</v>
      </c>
      <c r="D33" s="2">
        <v>750</v>
      </c>
      <c r="E33" s="2">
        <v>812</v>
      </c>
      <c r="F33" s="2">
        <v>842</v>
      </c>
      <c r="G33" s="2">
        <v>812</v>
      </c>
      <c r="H33" s="2">
        <v>809</v>
      </c>
      <c r="I33" s="2">
        <v>767</v>
      </c>
      <c r="J33" s="2">
        <v>807</v>
      </c>
      <c r="K33" s="2">
        <v>799</v>
      </c>
      <c r="L33" s="2">
        <v>859</v>
      </c>
      <c r="M33" s="2">
        <v>954</v>
      </c>
    </row>
    <row r="34" spans="2:13" x14ac:dyDescent="0.25">
      <c r="B34" s="12" t="s">
        <v>83</v>
      </c>
      <c r="C34" s="67">
        <f t="shared" ref="C34:G34" si="10">C33/C32*100</f>
        <v>78.807241746538864</v>
      </c>
      <c r="D34" s="8">
        <f t="shared" si="10"/>
        <v>80.906148867313917</v>
      </c>
      <c r="E34" s="8">
        <f t="shared" si="10"/>
        <v>84.145077720207254</v>
      </c>
      <c r="F34" s="8">
        <f t="shared" si="10"/>
        <v>85.91836734693878</v>
      </c>
      <c r="G34" s="8">
        <f t="shared" si="10"/>
        <v>83.453237410071949</v>
      </c>
      <c r="H34" s="8">
        <f t="shared" ref="H34:I34" si="11">H33/H32*100</f>
        <v>83.834196891191709</v>
      </c>
      <c r="I34" s="8">
        <f t="shared" si="11"/>
        <v>81.509032943676942</v>
      </c>
      <c r="J34" s="8">
        <f t="shared" ref="J34:K34" si="12">J33/J32*100</f>
        <v>82.599795291709313</v>
      </c>
      <c r="K34" s="8">
        <f t="shared" si="12"/>
        <v>81.780962128966223</v>
      </c>
      <c r="L34" s="8">
        <f t="shared" ref="L34:M34" si="13">L33/L32*100</f>
        <v>86.331658291457288</v>
      </c>
      <c r="M34" s="8">
        <f t="shared" si="13"/>
        <v>96.754563894523329</v>
      </c>
    </row>
    <row r="35" spans="2:13" x14ac:dyDescent="0.25">
      <c r="B35" s="2"/>
      <c r="C35" s="2"/>
      <c r="D35" s="2"/>
      <c r="E35" s="2"/>
      <c r="F35" s="2"/>
      <c r="G35" s="2"/>
      <c r="H35" s="2"/>
      <c r="I35" s="2"/>
      <c r="J35" s="2"/>
      <c r="K35" s="2"/>
      <c r="L35" s="2"/>
      <c r="M35" s="2"/>
    </row>
    <row r="36" spans="2:13" x14ac:dyDescent="0.25">
      <c r="B36" s="22" t="s">
        <v>78</v>
      </c>
      <c r="C36" s="2"/>
      <c r="D36" s="2"/>
      <c r="E36" s="2"/>
      <c r="F36" s="2"/>
      <c r="G36" s="2"/>
      <c r="H36" s="2"/>
      <c r="I36" s="2"/>
      <c r="J36" s="2"/>
      <c r="K36" s="2"/>
      <c r="L36" s="2"/>
      <c r="M36" s="2"/>
    </row>
    <row r="37" spans="2:13" x14ac:dyDescent="0.25">
      <c r="B37" s="11" t="s">
        <v>81</v>
      </c>
      <c r="C37" s="10">
        <v>2155</v>
      </c>
      <c r="D37" s="10">
        <v>2120</v>
      </c>
      <c r="E37" s="10">
        <v>2095</v>
      </c>
      <c r="F37" s="10">
        <v>1955</v>
      </c>
      <c r="G37" s="10">
        <v>1957</v>
      </c>
      <c r="H37" s="10">
        <v>1949</v>
      </c>
      <c r="I37" s="10">
        <v>1978</v>
      </c>
      <c r="J37" s="10">
        <v>2030</v>
      </c>
      <c r="K37" s="10">
        <v>2016.5</v>
      </c>
      <c r="L37" s="10">
        <v>1982</v>
      </c>
      <c r="M37" s="10">
        <v>1988</v>
      </c>
    </row>
    <row r="38" spans="2:13" x14ac:dyDescent="0.25">
      <c r="B38" s="11" t="s">
        <v>82</v>
      </c>
      <c r="C38" s="20">
        <v>2172</v>
      </c>
      <c r="D38" s="20">
        <v>2098</v>
      </c>
      <c r="E38" s="20">
        <v>2096</v>
      </c>
      <c r="F38" s="20">
        <v>1969</v>
      </c>
      <c r="G38" s="10">
        <v>1884</v>
      </c>
      <c r="H38" s="10">
        <v>1919</v>
      </c>
      <c r="I38" s="10">
        <v>1801</v>
      </c>
      <c r="J38" s="10">
        <v>1767</v>
      </c>
      <c r="K38" s="10">
        <v>2010</v>
      </c>
      <c r="L38" s="10">
        <v>2037</v>
      </c>
      <c r="M38" s="10">
        <v>2147</v>
      </c>
    </row>
    <row r="39" spans="2:13" x14ac:dyDescent="0.25">
      <c r="B39" s="12" t="s">
        <v>83</v>
      </c>
      <c r="C39" s="67">
        <f t="shared" ref="C39:G39" si="14">C38/C37*100</f>
        <v>100.78886310904873</v>
      </c>
      <c r="D39" s="8">
        <f t="shared" si="14"/>
        <v>98.962264150943398</v>
      </c>
      <c r="E39" s="8">
        <f t="shared" si="14"/>
        <v>100.04773269689737</v>
      </c>
      <c r="F39" s="8">
        <f t="shared" si="14"/>
        <v>100.7161125319693</v>
      </c>
      <c r="G39" s="8">
        <f t="shared" si="14"/>
        <v>96.269800715380683</v>
      </c>
      <c r="H39" s="8">
        <f t="shared" ref="H39:I39" si="15">H38/H37*100</f>
        <v>98.460749102103634</v>
      </c>
      <c r="I39" s="8">
        <f t="shared" si="15"/>
        <v>91.051567239636</v>
      </c>
      <c r="J39" s="8">
        <f t="shared" ref="J39:K39" si="16">J38/J37*100</f>
        <v>87.044334975369452</v>
      </c>
      <c r="K39" s="8">
        <f t="shared" si="16"/>
        <v>99.677659310686835</v>
      </c>
      <c r="L39" s="8">
        <f t="shared" ref="L39:M39" si="17">L38/L37*100</f>
        <v>102.77497477295661</v>
      </c>
      <c r="M39" s="8">
        <f t="shared" si="17"/>
        <v>107.99798792756539</v>
      </c>
    </row>
    <row r="40" spans="2:13" x14ac:dyDescent="0.25">
      <c r="B40" s="2"/>
      <c r="C40" s="2"/>
      <c r="D40" s="2"/>
      <c r="E40" s="2"/>
      <c r="F40" s="2"/>
      <c r="G40" s="2"/>
      <c r="H40" s="2"/>
      <c r="I40" s="2"/>
      <c r="J40" s="2"/>
      <c r="K40" s="2"/>
      <c r="L40" s="2"/>
      <c r="M40" s="2"/>
    </row>
    <row r="41" spans="2:13" x14ac:dyDescent="0.25">
      <c r="B41" s="22" t="s">
        <v>267</v>
      </c>
      <c r="C41" s="2"/>
      <c r="D41" s="2"/>
      <c r="E41" s="2"/>
      <c r="F41" s="2"/>
      <c r="G41" s="2"/>
      <c r="H41" s="2"/>
      <c r="I41" s="2"/>
      <c r="J41" s="2"/>
      <c r="K41" s="2"/>
      <c r="L41" s="2"/>
      <c r="M41" s="2"/>
    </row>
    <row r="42" spans="2:13" x14ac:dyDescent="0.25">
      <c r="B42" s="11" t="s">
        <v>81</v>
      </c>
      <c r="C42" s="2"/>
      <c r="D42" s="2"/>
      <c r="E42" s="2"/>
      <c r="F42" s="2"/>
      <c r="G42" s="2"/>
      <c r="H42" s="2"/>
      <c r="I42" s="2"/>
      <c r="J42" s="2"/>
      <c r="K42" s="2"/>
      <c r="L42" s="2"/>
      <c r="M42" s="2"/>
    </row>
    <row r="43" spans="2:13" x14ac:dyDescent="0.25">
      <c r="B43" s="11" t="s">
        <v>82</v>
      </c>
      <c r="C43" s="2"/>
      <c r="D43" s="2"/>
      <c r="E43" s="2"/>
      <c r="F43" s="2"/>
      <c r="G43" s="2"/>
      <c r="H43" s="2"/>
      <c r="I43" s="2"/>
      <c r="J43" s="2"/>
      <c r="K43" s="2"/>
      <c r="L43" s="2"/>
      <c r="M43" s="2"/>
    </row>
    <row r="44" spans="2:13" x14ac:dyDescent="0.25">
      <c r="B44" s="12" t="s">
        <v>83</v>
      </c>
      <c r="C44" s="2"/>
      <c r="D44" s="2"/>
      <c r="E44" s="2"/>
      <c r="F44" s="2"/>
      <c r="G44" s="2"/>
      <c r="H44" s="2"/>
      <c r="I44" s="2"/>
      <c r="J44" s="2"/>
      <c r="K44" s="2"/>
      <c r="L44" s="2"/>
      <c r="M44" s="2"/>
    </row>
    <row r="45" spans="2:13" x14ac:dyDescent="0.25">
      <c r="B45" s="2"/>
      <c r="C45" s="2"/>
      <c r="D45" s="2"/>
      <c r="E45" s="2"/>
      <c r="F45" s="2"/>
      <c r="G45" s="2"/>
      <c r="H45" s="2"/>
      <c r="I45" s="2"/>
      <c r="J45" s="2"/>
      <c r="K45" s="2"/>
      <c r="L45" s="2"/>
      <c r="M45" s="2"/>
    </row>
    <row r="46" spans="2:13" x14ac:dyDescent="0.25">
      <c r="B46" s="22" t="s">
        <v>80</v>
      </c>
      <c r="C46" s="2"/>
      <c r="D46" s="2"/>
      <c r="E46" s="2"/>
      <c r="F46" s="2"/>
      <c r="G46" s="2"/>
      <c r="H46" s="2"/>
      <c r="I46" s="2"/>
      <c r="J46" s="2"/>
      <c r="K46" s="2"/>
      <c r="L46" s="2"/>
      <c r="M46" s="2"/>
    </row>
    <row r="47" spans="2:13" x14ac:dyDescent="0.25">
      <c r="B47" s="11" t="s">
        <v>81</v>
      </c>
      <c r="C47" s="10">
        <f t="shared" ref="C47:F47" si="18">SUM(C32,C37)</f>
        <v>3094</v>
      </c>
      <c r="D47" s="10">
        <f t="shared" si="18"/>
        <v>3047</v>
      </c>
      <c r="E47" s="10">
        <f t="shared" si="18"/>
        <v>3060</v>
      </c>
      <c r="F47" s="10">
        <f t="shared" si="18"/>
        <v>2935</v>
      </c>
      <c r="G47" s="10">
        <f t="shared" ref="G47:I47" si="19">SUM(G32,G37)</f>
        <v>2930</v>
      </c>
      <c r="H47" s="10">
        <f t="shared" ref="H47:K47" si="20">SUM(H32,H37)</f>
        <v>2914</v>
      </c>
      <c r="I47" s="10">
        <f t="shared" si="19"/>
        <v>2919</v>
      </c>
      <c r="J47" s="10">
        <f t="shared" si="20"/>
        <v>3007</v>
      </c>
      <c r="K47" s="10">
        <f t="shared" si="20"/>
        <v>2993.5</v>
      </c>
      <c r="L47" s="10">
        <f t="shared" ref="L47:M47" si="21">SUM(L32,L37)</f>
        <v>2977</v>
      </c>
      <c r="M47" s="10">
        <f t="shared" si="21"/>
        <v>2974</v>
      </c>
    </row>
    <row r="48" spans="2:13" x14ac:dyDescent="0.25">
      <c r="B48" s="11" t="s">
        <v>82</v>
      </c>
      <c r="C48" s="10">
        <f t="shared" ref="C48:F48" si="22">C33+C38</f>
        <v>2912</v>
      </c>
      <c r="D48" s="10">
        <f t="shared" si="22"/>
        <v>2848</v>
      </c>
      <c r="E48" s="10">
        <f t="shared" si="22"/>
        <v>2908</v>
      </c>
      <c r="F48" s="10">
        <f t="shared" si="22"/>
        <v>2811</v>
      </c>
      <c r="G48" s="10">
        <f t="shared" ref="G48:I48" si="23">G33+G38</f>
        <v>2696</v>
      </c>
      <c r="H48" s="10">
        <f t="shared" ref="H48:K48" si="24">H33+H38</f>
        <v>2728</v>
      </c>
      <c r="I48" s="10">
        <f t="shared" si="23"/>
        <v>2568</v>
      </c>
      <c r="J48" s="10">
        <f t="shared" si="24"/>
        <v>2574</v>
      </c>
      <c r="K48" s="10">
        <f t="shared" si="24"/>
        <v>2809</v>
      </c>
      <c r="L48" s="10">
        <f t="shared" ref="L48:M48" si="25">L33+L38</f>
        <v>2896</v>
      </c>
      <c r="M48" s="10">
        <f t="shared" si="25"/>
        <v>3101</v>
      </c>
    </row>
    <row r="49" spans="2:13" x14ac:dyDescent="0.25">
      <c r="B49" s="12" t="s">
        <v>83</v>
      </c>
      <c r="C49" s="67">
        <f t="shared" ref="C49:F49" si="26">C48/C47*100</f>
        <v>94.117647058823522</v>
      </c>
      <c r="D49" s="8">
        <f t="shared" si="26"/>
        <v>93.46898588775845</v>
      </c>
      <c r="E49" s="8">
        <f t="shared" si="26"/>
        <v>95.032679738562081</v>
      </c>
      <c r="F49" s="8">
        <f t="shared" si="26"/>
        <v>95.775127768313467</v>
      </c>
      <c r="G49" s="8">
        <f t="shared" ref="G49:H49" si="27">G48/G47*100</f>
        <v>92.0136518771331</v>
      </c>
      <c r="H49" s="8">
        <f t="shared" si="27"/>
        <v>93.61702127659575</v>
      </c>
      <c r="I49" s="8">
        <f t="shared" ref="I49:J49" si="28">I48/I47*100</f>
        <v>87.975334018499481</v>
      </c>
      <c r="J49" s="8">
        <f t="shared" si="28"/>
        <v>85.600266045892909</v>
      </c>
      <c r="K49" s="8">
        <f t="shared" ref="K49:L49" si="29">K48/K47*100</f>
        <v>93.836646066477371</v>
      </c>
      <c r="L49" s="8">
        <f t="shared" si="29"/>
        <v>97.279140073899896</v>
      </c>
      <c r="M49" s="8">
        <f t="shared" ref="M49" si="30">M48/M47*100</f>
        <v>104.2703429724277</v>
      </c>
    </row>
    <row r="50" spans="2:13" x14ac:dyDescent="0.25">
      <c r="B50" s="6"/>
    </row>
    <row r="51" spans="2:13" x14ac:dyDescent="0.25">
      <c r="B51" s="63" t="s">
        <v>264</v>
      </c>
    </row>
    <row r="52" spans="2:13" x14ac:dyDescent="0.25">
      <c r="B52" s="63" t="s">
        <v>265</v>
      </c>
    </row>
    <row r="53" spans="2:13" x14ac:dyDescent="0.25">
      <c r="B53" s="7"/>
    </row>
    <row r="56" spans="2:13" ht="18.75" x14ac:dyDescent="0.3">
      <c r="B56" s="15" t="s">
        <v>269</v>
      </c>
      <c r="C56" s="16">
        <v>2014</v>
      </c>
      <c r="D56" s="16">
        <v>2015</v>
      </c>
      <c r="E56" s="16">
        <v>2016</v>
      </c>
      <c r="F56" s="16">
        <v>2017</v>
      </c>
      <c r="G56" s="16">
        <v>2018</v>
      </c>
      <c r="H56" s="16">
        <v>2019</v>
      </c>
      <c r="I56" s="16">
        <v>2020</v>
      </c>
      <c r="J56" s="16">
        <v>2021</v>
      </c>
      <c r="K56" s="16">
        <v>2022</v>
      </c>
      <c r="L56" s="16">
        <v>2023</v>
      </c>
      <c r="M56" s="16">
        <v>2024</v>
      </c>
    </row>
    <row r="57" spans="2:13" x14ac:dyDescent="0.25">
      <c r="B57" s="22" t="s">
        <v>62</v>
      </c>
      <c r="M57" s="161"/>
    </row>
    <row r="58" spans="2:13" x14ac:dyDescent="0.25">
      <c r="B58" s="11" t="s">
        <v>81</v>
      </c>
      <c r="C58" s="2">
        <v>42</v>
      </c>
      <c r="D58" s="2">
        <v>44</v>
      </c>
      <c r="E58" s="2">
        <v>44</v>
      </c>
      <c r="F58" s="2">
        <v>45</v>
      </c>
      <c r="G58" s="2">
        <v>44</v>
      </c>
      <c r="H58" s="2">
        <v>44</v>
      </c>
      <c r="I58" s="2">
        <v>42</v>
      </c>
      <c r="J58" s="2">
        <v>42</v>
      </c>
      <c r="K58" s="2">
        <v>42</v>
      </c>
      <c r="L58" s="2">
        <v>43</v>
      </c>
      <c r="M58" s="2">
        <v>43</v>
      </c>
    </row>
    <row r="59" spans="2:13" x14ac:dyDescent="0.25">
      <c r="B59" s="11" t="s">
        <v>82</v>
      </c>
      <c r="C59" s="69">
        <v>41.07</v>
      </c>
      <c r="D59" s="69">
        <v>42.4</v>
      </c>
      <c r="E59" s="69">
        <v>42.7</v>
      </c>
      <c r="F59" s="69">
        <v>42.3</v>
      </c>
      <c r="G59" s="69">
        <v>38.020000000000003</v>
      </c>
      <c r="H59" s="69">
        <v>41.1</v>
      </c>
      <c r="I59" s="69">
        <v>34</v>
      </c>
      <c r="J59" s="69">
        <v>38</v>
      </c>
      <c r="K59" s="69">
        <v>38.799999999999997</v>
      </c>
      <c r="L59" s="69">
        <v>39.700000000000003</v>
      </c>
      <c r="M59" s="69">
        <v>37.799999999999997</v>
      </c>
    </row>
    <row r="60" spans="2:13" x14ac:dyDescent="0.25">
      <c r="B60" s="12" t="s">
        <v>83</v>
      </c>
      <c r="C60" s="80">
        <f t="shared" ref="C60:G60" si="31">C59/C58*100</f>
        <v>97.785714285714292</v>
      </c>
      <c r="D60" s="80">
        <f t="shared" si="31"/>
        <v>96.36363636363636</v>
      </c>
      <c r="E60" s="80">
        <f t="shared" si="31"/>
        <v>97.045454545454561</v>
      </c>
      <c r="F60" s="80">
        <f t="shared" si="31"/>
        <v>94</v>
      </c>
      <c r="G60" s="80">
        <f t="shared" si="31"/>
        <v>86.409090909090907</v>
      </c>
      <c r="H60" s="80">
        <f t="shared" ref="H60:I60" si="32">H59/H58*100</f>
        <v>93.409090909090907</v>
      </c>
      <c r="I60" s="80">
        <f t="shared" si="32"/>
        <v>80.952380952380949</v>
      </c>
      <c r="J60" s="80">
        <f t="shared" ref="J60:K60" si="33">J59/J58*100</f>
        <v>90.476190476190482</v>
      </c>
      <c r="K60" s="80">
        <f t="shared" si="33"/>
        <v>92.38095238095238</v>
      </c>
      <c r="L60" s="80">
        <f t="shared" ref="L60:M60" si="34">L59/L58*100</f>
        <v>92.325581395348848</v>
      </c>
      <c r="M60" s="80">
        <f t="shared" si="34"/>
        <v>87.906976744186039</v>
      </c>
    </row>
    <row r="61" spans="2:13" x14ac:dyDescent="0.25">
      <c r="B61" s="2"/>
      <c r="C61" s="2"/>
      <c r="D61" s="2"/>
      <c r="E61" s="2"/>
      <c r="F61" s="2"/>
      <c r="G61" s="2"/>
      <c r="H61" s="2"/>
      <c r="I61" s="2"/>
      <c r="J61" s="2"/>
      <c r="K61" s="2"/>
      <c r="L61" s="2"/>
      <c r="M61" s="2"/>
    </row>
    <row r="62" spans="2:13" x14ac:dyDescent="0.25">
      <c r="B62" s="22" t="s">
        <v>78</v>
      </c>
      <c r="C62" s="2"/>
      <c r="D62" s="2"/>
      <c r="E62" s="2"/>
      <c r="F62" s="2"/>
      <c r="G62" s="2"/>
      <c r="H62" s="2"/>
      <c r="I62" s="2"/>
      <c r="J62" s="2"/>
      <c r="K62" s="2"/>
      <c r="L62" s="2"/>
      <c r="M62" s="2"/>
    </row>
    <row r="63" spans="2:13" x14ac:dyDescent="0.25">
      <c r="B63" s="11" t="s">
        <v>81</v>
      </c>
      <c r="C63" s="2">
        <v>112</v>
      </c>
      <c r="D63" s="2">
        <v>105</v>
      </c>
      <c r="E63" s="2">
        <v>99</v>
      </c>
      <c r="F63" s="2">
        <v>110</v>
      </c>
      <c r="G63" s="2">
        <v>110</v>
      </c>
      <c r="H63" s="2">
        <v>125</v>
      </c>
      <c r="I63" s="2">
        <v>125</v>
      </c>
      <c r="J63" s="2">
        <v>135</v>
      </c>
      <c r="K63" s="2">
        <v>135</v>
      </c>
      <c r="L63" s="2">
        <v>133</v>
      </c>
      <c r="M63" s="2">
        <v>113</v>
      </c>
    </row>
    <row r="64" spans="2:13" x14ac:dyDescent="0.25">
      <c r="B64" s="11" t="s">
        <v>82</v>
      </c>
      <c r="C64" s="69">
        <v>99.11</v>
      </c>
      <c r="D64" s="69">
        <v>100.75</v>
      </c>
      <c r="E64" s="69">
        <v>80.599999999999994</v>
      </c>
      <c r="F64" s="69">
        <v>93.7</v>
      </c>
      <c r="G64" s="69">
        <v>99.9</v>
      </c>
      <c r="H64" s="69">
        <v>114.2</v>
      </c>
      <c r="I64" s="69">
        <v>91.9</v>
      </c>
      <c r="J64" s="69">
        <v>96.7</v>
      </c>
      <c r="K64" s="69">
        <v>101.3</v>
      </c>
      <c r="L64" s="69">
        <v>105.4</v>
      </c>
      <c r="M64" s="69">
        <v>97</v>
      </c>
    </row>
    <row r="65" spans="2:13" x14ac:dyDescent="0.25">
      <c r="B65" s="12" t="s">
        <v>83</v>
      </c>
      <c r="C65" s="80">
        <f t="shared" ref="C65:G65" si="35">C64/C63*100</f>
        <v>88.491071428571431</v>
      </c>
      <c r="D65" s="80">
        <f t="shared" si="35"/>
        <v>95.952380952380949</v>
      </c>
      <c r="E65" s="80">
        <f t="shared" si="35"/>
        <v>81.414141414141412</v>
      </c>
      <c r="F65" s="80">
        <f t="shared" si="35"/>
        <v>85.181818181818187</v>
      </c>
      <c r="G65" s="80">
        <f t="shared" si="35"/>
        <v>90.818181818181813</v>
      </c>
      <c r="H65" s="80">
        <f t="shared" ref="H65:I65" si="36">H64/H63*100</f>
        <v>91.36</v>
      </c>
      <c r="I65" s="80">
        <f t="shared" si="36"/>
        <v>73.52000000000001</v>
      </c>
      <c r="J65" s="80">
        <f t="shared" ref="J65:K65" si="37">J64/J63*100</f>
        <v>71.629629629629633</v>
      </c>
      <c r="K65" s="80">
        <f t="shared" si="37"/>
        <v>75.037037037037038</v>
      </c>
      <c r="L65" s="80">
        <f t="shared" ref="L65:M65" si="38">L64/L63*100</f>
        <v>79.248120300751879</v>
      </c>
      <c r="M65" s="80">
        <f t="shared" si="38"/>
        <v>85.840707964601776</v>
      </c>
    </row>
    <row r="66" spans="2:13" x14ac:dyDescent="0.25">
      <c r="B66" s="2"/>
      <c r="C66" s="2"/>
      <c r="D66" s="2"/>
      <c r="E66" s="2"/>
      <c r="F66" s="2"/>
      <c r="G66" s="2"/>
      <c r="H66" s="2"/>
      <c r="I66" s="2"/>
      <c r="J66" s="2"/>
      <c r="K66" s="2"/>
      <c r="L66" s="2"/>
      <c r="M66" s="2"/>
    </row>
    <row r="67" spans="2:13" x14ac:dyDescent="0.25">
      <c r="B67" s="22" t="s">
        <v>79</v>
      </c>
      <c r="C67" s="2"/>
      <c r="D67" s="2"/>
      <c r="E67" s="2"/>
      <c r="F67" s="2"/>
      <c r="G67" s="2"/>
      <c r="H67" s="2"/>
      <c r="I67" s="2"/>
      <c r="J67" s="2"/>
      <c r="K67" s="2"/>
      <c r="L67" s="2"/>
      <c r="M67" s="2"/>
    </row>
    <row r="68" spans="2:13" x14ac:dyDescent="0.25">
      <c r="B68" s="11" t="s">
        <v>81</v>
      </c>
      <c r="C68" s="2">
        <v>9</v>
      </c>
      <c r="D68" s="2">
        <v>9</v>
      </c>
      <c r="E68" s="2">
        <v>8</v>
      </c>
      <c r="F68" s="2">
        <v>9</v>
      </c>
      <c r="G68" s="2">
        <v>8</v>
      </c>
      <c r="H68" s="2">
        <v>8</v>
      </c>
      <c r="I68" s="2">
        <v>8</v>
      </c>
      <c r="J68" s="2">
        <v>4</v>
      </c>
      <c r="K68" s="2">
        <v>4</v>
      </c>
      <c r="L68" s="2">
        <v>4</v>
      </c>
      <c r="M68" s="2">
        <v>4</v>
      </c>
    </row>
    <row r="69" spans="2:13" x14ac:dyDescent="0.25">
      <c r="B69" s="11" t="s">
        <v>270</v>
      </c>
      <c r="C69" s="69">
        <v>1.62</v>
      </c>
      <c r="D69" s="69">
        <v>2.16</v>
      </c>
      <c r="E69" s="69">
        <v>1.8</v>
      </c>
      <c r="F69" s="69">
        <v>2.5</v>
      </c>
      <c r="G69" s="69">
        <v>2.5499999999999998</v>
      </c>
      <c r="H69" s="69">
        <v>2</v>
      </c>
      <c r="I69" s="69">
        <v>1.5</v>
      </c>
      <c r="J69" s="69">
        <v>1.3</v>
      </c>
      <c r="K69" s="69">
        <v>2.5</v>
      </c>
      <c r="L69" s="69">
        <v>3</v>
      </c>
      <c r="M69" s="69">
        <v>3.8</v>
      </c>
    </row>
    <row r="70" spans="2:13" x14ac:dyDescent="0.25">
      <c r="B70" s="12" t="s">
        <v>83</v>
      </c>
      <c r="C70" s="80">
        <f t="shared" ref="C70:G70" si="39">C69/C68*100</f>
        <v>18.000000000000004</v>
      </c>
      <c r="D70" s="80">
        <f t="shared" si="39"/>
        <v>24.000000000000004</v>
      </c>
      <c r="E70" s="80">
        <f t="shared" si="39"/>
        <v>22.5</v>
      </c>
      <c r="F70" s="80">
        <f>F69/F68*100</f>
        <v>27.777777777777779</v>
      </c>
      <c r="G70" s="80">
        <f t="shared" si="39"/>
        <v>31.874999999999996</v>
      </c>
      <c r="H70" s="80">
        <f t="shared" ref="H70:I70" si="40">H69/H68*100</f>
        <v>25</v>
      </c>
      <c r="I70" s="80">
        <f t="shared" si="40"/>
        <v>18.75</v>
      </c>
      <c r="J70" s="80">
        <f t="shared" ref="J70:K70" si="41">J69/J68*100</f>
        <v>32.5</v>
      </c>
      <c r="K70" s="80">
        <f t="shared" si="41"/>
        <v>62.5</v>
      </c>
      <c r="L70" s="80">
        <f t="shared" ref="L70:M70" si="42">L69/L68*100</f>
        <v>75</v>
      </c>
      <c r="M70" s="80">
        <f t="shared" si="42"/>
        <v>95</v>
      </c>
    </row>
    <row r="71" spans="2:13" x14ac:dyDescent="0.25">
      <c r="B71" s="2"/>
      <c r="C71" s="2"/>
      <c r="D71" s="2"/>
      <c r="E71" s="2"/>
      <c r="F71" s="2"/>
      <c r="G71" s="2"/>
      <c r="H71" s="2"/>
      <c r="I71" s="2"/>
      <c r="J71" s="2"/>
      <c r="K71" s="2"/>
      <c r="L71" s="2"/>
      <c r="M71" s="2"/>
    </row>
    <row r="72" spans="2:13" x14ac:dyDescent="0.25">
      <c r="B72" s="22" t="s">
        <v>295</v>
      </c>
      <c r="C72" s="2"/>
      <c r="D72" s="2"/>
      <c r="E72" s="2"/>
      <c r="F72" s="2"/>
      <c r="G72" s="2"/>
      <c r="H72" s="2"/>
      <c r="I72" s="2"/>
      <c r="J72" s="2"/>
      <c r="K72" s="2"/>
      <c r="L72" s="2"/>
      <c r="M72" s="2"/>
    </row>
    <row r="73" spans="2:13" x14ac:dyDescent="0.25">
      <c r="B73" s="11" t="s">
        <v>81</v>
      </c>
      <c r="C73" s="69">
        <f t="shared" ref="C73:J73" si="43">C58+C63+C68</f>
        <v>163</v>
      </c>
      <c r="D73" s="69">
        <f t="shared" si="43"/>
        <v>158</v>
      </c>
      <c r="E73" s="69">
        <f t="shared" si="43"/>
        <v>151</v>
      </c>
      <c r="F73" s="69">
        <f t="shared" si="43"/>
        <v>164</v>
      </c>
      <c r="G73" s="69">
        <f t="shared" si="43"/>
        <v>162</v>
      </c>
      <c r="H73" s="69">
        <f t="shared" si="43"/>
        <v>177</v>
      </c>
      <c r="I73" s="69">
        <f t="shared" si="43"/>
        <v>175</v>
      </c>
      <c r="J73" s="69">
        <f t="shared" si="43"/>
        <v>181</v>
      </c>
      <c r="K73" s="69">
        <f t="shared" ref="K73:M74" si="44">K58+K63+K68</f>
        <v>181</v>
      </c>
      <c r="L73" s="69">
        <f t="shared" si="44"/>
        <v>180</v>
      </c>
      <c r="M73" s="69">
        <f t="shared" si="44"/>
        <v>160</v>
      </c>
    </row>
    <row r="74" spans="2:13" x14ac:dyDescent="0.25">
      <c r="B74" s="11" t="s">
        <v>82</v>
      </c>
      <c r="C74" s="69">
        <f t="shared" ref="C74:E74" si="45">C59+C64+C69</f>
        <v>141.80000000000001</v>
      </c>
      <c r="D74" s="69">
        <f t="shared" si="45"/>
        <v>145.31</v>
      </c>
      <c r="E74" s="69">
        <f t="shared" si="45"/>
        <v>125.1</v>
      </c>
      <c r="F74" s="69">
        <f t="shared" ref="F74:K74" si="46">F59+F64+F69</f>
        <v>138.5</v>
      </c>
      <c r="G74" s="69">
        <f t="shared" si="46"/>
        <v>140.47000000000003</v>
      </c>
      <c r="H74" s="69">
        <f t="shared" si="46"/>
        <v>157.30000000000001</v>
      </c>
      <c r="I74" s="69">
        <f t="shared" si="46"/>
        <v>127.4</v>
      </c>
      <c r="J74" s="69">
        <f t="shared" si="46"/>
        <v>136</v>
      </c>
      <c r="K74" s="69">
        <f t="shared" si="46"/>
        <v>142.6</v>
      </c>
      <c r="L74" s="69">
        <f t="shared" ref="L74" si="47">L59+L64+L69</f>
        <v>148.10000000000002</v>
      </c>
      <c r="M74" s="69">
        <f t="shared" si="44"/>
        <v>138.60000000000002</v>
      </c>
    </row>
    <row r="75" spans="2:13" x14ac:dyDescent="0.25">
      <c r="B75" s="12" t="s">
        <v>83</v>
      </c>
      <c r="C75" s="80">
        <f t="shared" ref="C75:E75" si="48">C74/C73*100</f>
        <v>86.993865030674854</v>
      </c>
      <c r="D75" s="80">
        <f t="shared" si="48"/>
        <v>91.968354430379748</v>
      </c>
      <c r="E75" s="80">
        <f t="shared" si="48"/>
        <v>82.847682119205288</v>
      </c>
      <c r="F75" s="80">
        <f t="shared" ref="F75:K75" si="49">F74/F73*100</f>
        <v>84.451219512195124</v>
      </c>
      <c r="G75" s="80">
        <f t="shared" si="49"/>
        <v>86.709876543209901</v>
      </c>
      <c r="H75" s="80">
        <f t="shared" si="49"/>
        <v>88.870056497175142</v>
      </c>
      <c r="I75" s="80">
        <f t="shared" si="49"/>
        <v>72.8</v>
      </c>
      <c r="J75" s="80">
        <f t="shared" si="49"/>
        <v>75.138121546961329</v>
      </c>
      <c r="K75" s="80">
        <f t="shared" si="49"/>
        <v>78.784530386740329</v>
      </c>
      <c r="L75" s="80">
        <f t="shared" ref="L75:M75" si="50">L74/L73*100</f>
        <v>82.2777777777778</v>
      </c>
      <c r="M75" s="80">
        <f t="shared" si="50"/>
        <v>86.625000000000014</v>
      </c>
    </row>
    <row r="76" spans="2:13" x14ac:dyDescent="0.25">
      <c r="B76" s="6"/>
    </row>
    <row r="77" spans="2:13" x14ac:dyDescent="0.25">
      <c r="B77" s="63" t="s">
        <v>268</v>
      </c>
    </row>
    <row r="78" spans="2:13" x14ac:dyDescent="0.25">
      <c r="B78" s="63" t="s">
        <v>319</v>
      </c>
    </row>
    <row r="79" spans="2:13" x14ac:dyDescent="0.25">
      <c r="B79" s="64" t="s">
        <v>320</v>
      </c>
    </row>
    <row r="80" spans="2:13" x14ac:dyDescent="0.25">
      <c r="B80" s="63" t="s">
        <v>369</v>
      </c>
    </row>
    <row r="83" spans="2:13" ht="18.75" x14ac:dyDescent="0.3">
      <c r="B83" s="15" t="s">
        <v>272</v>
      </c>
      <c r="C83" s="16">
        <v>2014</v>
      </c>
      <c r="D83" s="16">
        <v>2015</v>
      </c>
      <c r="E83" s="16">
        <v>2016</v>
      </c>
      <c r="F83" s="16">
        <v>2017</v>
      </c>
      <c r="G83" s="16">
        <v>2018</v>
      </c>
      <c r="H83" s="16">
        <v>2019</v>
      </c>
      <c r="I83" s="16">
        <v>2020</v>
      </c>
      <c r="J83" s="16">
        <v>2021</v>
      </c>
      <c r="K83" s="16">
        <v>2022</v>
      </c>
      <c r="L83" s="16">
        <v>2023</v>
      </c>
      <c r="M83" s="16">
        <v>2024</v>
      </c>
    </row>
    <row r="84" spans="2:13" x14ac:dyDescent="0.25">
      <c r="B84" s="22" t="s">
        <v>62</v>
      </c>
    </row>
    <row r="85" spans="2:13" x14ac:dyDescent="0.25">
      <c r="B85" s="11" t="s">
        <v>273</v>
      </c>
      <c r="C85" s="10">
        <f>508874/365</f>
        <v>1394.1753424657534</v>
      </c>
      <c r="D85" s="85">
        <v>1383</v>
      </c>
      <c r="E85" s="85">
        <v>1385</v>
      </c>
      <c r="F85" s="85">
        <v>1365</v>
      </c>
      <c r="G85" s="10">
        <v>1279.5999999999999</v>
      </c>
      <c r="H85" s="10">
        <v>1145.8</v>
      </c>
      <c r="I85" s="10">
        <v>1029</v>
      </c>
      <c r="J85" s="10">
        <v>1065.0306748466257</v>
      </c>
      <c r="K85" s="10">
        <v>1065</v>
      </c>
      <c r="L85" s="10">
        <v>1065</v>
      </c>
      <c r="M85" s="10">
        <v>1105</v>
      </c>
    </row>
    <row r="86" spans="2:13" x14ac:dyDescent="0.25">
      <c r="B86" s="11" t="s">
        <v>82</v>
      </c>
      <c r="C86" s="10">
        <f>487871/365</f>
        <v>1336.6328767123289</v>
      </c>
      <c r="D86" s="85">
        <v>1351</v>
      </c>
      <c r="E86" s="85">
        <f>E101-E91</f>
        <v>1307</v>
      </c>
      <c r="F86" s="10">
        <v>1234</v>
      </c>
      <c r="G86" s="10">
        <v>1106.5999999999999</v>
      </c>
      <c r="H86" s="10">
        <v>1038</v>
      </c>
      <c r="I86" s="10">
        <v>828.7</v>
      </c>
      <c r="J86" s="10">
        <v>868</v>
      </c>
      <c r="K86" s="10">
        <v>912</v>
      </c>
      <c r="L86" s="10">
        <v>942</v>
      </c>
      <c r="M86" s="10">
        <v>961</v>
      </c>
    </row>
    <row r="87" spans="2:13" x14ac:dyDescent="0.25">
      <c r="B87" s="12" t="s">
        <v>83</v>
      </c>
      <c r="C87" s="8">
        <f t="shared" ref="C87:H87" si="51">C86/C85*100</f>
        <v>95.872652169299286</v>
      </c>
      <c r="D87" s="8">
        <f t="shared" si="51"/>
        <v>97.686189443239329</v>
      </c>
      <c r="E87" s="8">
        <f t="shared" si="51"/>
        <v>94.368231046931399</v>
      </c>
      <c r="F87" s="8">
        <f t="shared" si="51"/>
        <v>90.402930402930409</v>
      </c>
      <c r="G87" s="8">
        <f t="shared" si="51"/>
        <v>86.480150046889648</v>
      </c>
      <c r="H87" s="8">
        <f t="shared" si="51"/>
        <v>90.591726304765231</v>
      </c>
      <c r="I87" s="8">
        <f t="shared" ref="I87:J87" si="52">I86/I85*100</f>
        <v>80.534499514091351</v>
      </c>
      <c r="J87" s="8">
        <f t="shared" si="52"/>
        <v>81.5</v>
      </c>
      <c r="K87" s="8">
        <f t="shared" ref="K87:L87" si="53">K86/K85*100</f>
        <v>85.633802816901408</v>
      </c>
      <c r="L87" s="8">
        <f t="shared" si="53"/>
        <v>88.450704225352112</v>
      </c>
      <c r="M87" s="8">
        <f t="shared" ref="M87" si="54">M86/M85*100</f>
        <v>86.968325791855207</v>
      </c>
    </row>
    <row r="88" spans="2:13" x14ac:dyDescent="0.25">
      <c r="B88" s="2"/>
      <c r="C88" s="2"/>
      <c r="D88" s="2"/>
      <c r="E88" s="2"/>
      <c r="F88" s="2"/>
      <c r="G88" s="2"/>
      <c r="H88" s="2"/>
      <c r="I88" s="2"/>
      <c r="J88" s="2"/>
      <c r="K88" s="2"/>
      <c r="L88" s="2"/>
      <c r="M88" s="2"/>
    </row>
    <row r="89" spans="2:13" x14ac:dyDescent="0.25">
      <c r="B89" s="22" t="s">
        <v>78</v>
      </c>
      <c r="C89" s="2"/>
      <c r="D89" s="2"/>
      <c r="E89" s="2"/>
      <c r="F89" s="2"/>
      <c r="G89" s="2"/>
      <c r="H89" s="2"/>
      <c r="I89" s="2"/>
      <c r="J89" s="2"/>
      <c r="K89" s="2"/>
      <c r="L89" s="2"/>
      <c r="M89" s="2"/>
    </row>
    <row r="90" spans="2:13" x14ac:dyDescent="0.25">
      <c r="B90" s="11" t="s">
        <v>81</v>
      </c>
      <c r="C90" s="10">
        <f>878381/365</f>
        <v>2406.523287671233</v>
      </c>
      <c r="D90" s="10">
        <v>2519</v>
      </c>
      <c r="E90" s="10">
        <v>2657</v>
      </c>
      <c r="F90" s="10">
        <v>2601</v>
      </c>
      <c r="G90" s="10">
        <v>2500.5054</v>
      </c>
      <c r="H90" s="10">
        <v>2433.6999999999998</v>
      </c>
      <c r="I90" s="10">
        <v>2416</v>
      </c>
      <c r="J90" s="10">
        <v>2585</v>
      </c>
      <c r="K90" s="10">
        <v>2585</v>
      </c>
      <c r="L90" s="10">
        <v>2540</v>
      </c>
      <c r="M90" s="10">
        <v>2394</v>
      </c>
    </row>
    <row r="91" spans="2:13" x14ac:dyDescent="0.25">
      <c r="B91" s="11" t="s">
        <v>82</v>
      </c>
      <c r="C91" s="10">
        <f>868321/365</f>
        <v>2378.9616438356165</v>
      </c>
      <c r="D91" s="10">
        <v>2394</v>
      </c>
      <c r="E91" s="10">
        <v>2543</v>
      </c>
      <c r="F91" s="10">
        <v>2417</v>
      </c>
      <c r="G91" s="10">
        <v>2245.2821000000004</v>
      </c>
      <c r="H91" s="10">
        <v>2206.8000000000002</v>
      </c>
      <c r="I91" s="10">
        <v>2105.5</v>
      </c>
      <c r="J91" s="10">
        <v>2202</v>
      </c>
      <c r="K91" s="10">
        <v>2162</v>
      </c>
      <c r="L91" s="10">
        <v>2047</v>
      </c>
      <c r="M91" s="10">
        <v>2072</v>
      </c>
    </row>
    <row r="92" spans="2:13" x14ac:dyDescent="0.25">
      <c r="B92" s="12" t="s">
        <v>83</v>
      </c>
      <c r="C92" s="8">
        <f t="shared" ref="C92:H92" si="55">C91/C90*100</f>
        <v>98.854711110554533</v>
      </c>
      <c r="D92" s="8">
        <f t="shared" si="55"/>
        <v>95.037713378324725</v>
      </c>
      <c r="E92" s="8">
        <f t="shared" si="55"/>
        <v>95.709446744448627</v>
      </c>
      <c r="F92" s="8">
        <f t="shared" si="55"/>
        <v>92.925797770088423</v>
      </c>
      <c r="G92" s="8">
        <f t="shared" si="55"/>
        <v>89.793131420552029</v>
      </c>
      <c r="H92" s="8">
        <f t="shared" si="55"/>
        <v>90.676747339442016</v>
      </c>
      <c r="I92" s="8">
        <f t="shared" ref="I92:J92" si="56">I91/I90*100</f>
        <v>87.148178807947019</v>
      </c>
      <c r="J92" s="8">
        <f t="shared" si="56"/>
        <v>85.183752417794963</v>
      </c>
      <c r="K92" s="8">
        <f t="shared" ref="K92:L92" si="57">K91/K90*100</f>
        <v>83.636363636363626</v>
      </c>
      <c r="L92" s="8">
        <f t="shared" si="57"/>
        <v>80.59055118110237</v>
      </c>
      <c r="M92" s="8">
        <f t="shared" ref="M92" si="58">M91/M90*100</f>
        <v>86.549707602339183</v>
      </c>
    </row>
    <row r="93" spans="2:13" x14ac:dyDescent="0.25">
      <c r="B93" s="2"/>
      <c r="C93" s="2"/>
      <c r="D93" s="2"/>
      <c r="E93" s="2"/>
      <c r="F93" s="2"/>
      <c r="G93" s="2"/>
      <c r="H93" s="2"/>
      <c r="I93" s="2"/>
      <c r="J93" s="2"/>
      <c r="K93" s="2"/>
      <c r="L93" s="2"/>
      <c r="M93" s="2"/>
    </row>
    <row r="94" spans="2:13" x14ac:dyDescent="0.25">
      <c r="B94" s="22" t="s">
        <v>79</v>
      </c>
      <c r="C94" s="2"/>
      <c r="D94" s="2"/>
      <c r="E94" s="2"/>
      <c r="F94" s="2"/>
      <c r="G94" s="2"/>
      <c r="H94" s="2"/>
      <c r="I94" s="2"/>
      <c r="J94" s="2"/>
      <c r="K94" s="2"/>
      <c r="L94" s="2"/>
      <c r="M94" s="2"/>
    </row>
    <row r="95" spans="2:13" x14ac:dyDescent="0.25">
      <c r="B95" s="11" t="s">
        <v>81</v>
      </c>
      <c r="C95" s="2"/>
      <c r="D95" s="2"/>
      <c r="E95" s="2"/>
      <c r="F95" s="2"/>
      <c r="G95" s="2"/>
      <c r="H95" s="2"/>
      <c r="I95" s="2"/>
      <c r="J95" s="2"/>
      <c r="K95" s="2"/>
      <c r="L95" s="2"/>
      <c r="M95" s="2"/>
    </row>
    <row r="96" spans="2:13" x14ac:dyDescent="0.25">
      <c r="B96" s="11" t="s">
        <v>82</v>
      </c>
      <c r="C96" s="2"/>
      <c r="D96" s="2"/>
      <c r="E96" s="2"/>
      <c r="F96" s="2"/>
      <c r="G96" s="2"/>
      <c r="H96" s="2"/>
      <c r="I96" s="2"/>
      <c r="J96" s="2"/>
      <c r="K96" s="2"/>
      <c r="L96" s="2"/>
      <c r="M96" s="2"/>
    </row>
    <row r="97" spans="2:13" x14ac:dyDescent="0.25">
      <c r="B97" s="12" t="s">
        <v>83</v>
      </c>
      <c r="C97" s="2"/>
      <c r="D97" s="2"/>
      <c r="E97" s="2"/>
      <c r="F97" s="2"/>
      <c r="G97" s="2"/>
      <c r="H97" s="2"/>
      <c r="I97" s="2"/>
      <c r="J97" s="2"/>
      <c r="K97" s="2"/>
      <c r="L97" s="2"/>
      <c r="M97" s="2"/>
    </row>
    <row r="98" spans="2:13" x14ac:dyDescent="0.25">
      <c r="B98" s="2"/>
      <c r="C98" s="2"/>
      <c r="D98" s="2"/>
      <c r="E98" s="2"/>
      <c r="F98" s="2"/>
      <c r="G98" s="2"/>
      <c r="H98" s="2"/>
      <c r="I98" s="2"/>
      <c r="J98" s="2"/>
      <c r="K98" s="2"/>
      <c r="L98" s="2"/>
      <c r="M98" s="2"/>
    </row>
    <row r="99" spans="2:13" x14ac:dyDescent="0.25">
      <c r="B99" s="22" t="s">
        <v>80</v>
      </c>
      <c r="C99" s="2"/>
      <c r="D99" s="2"/>
      <c r="E99" s="2"/>
      <c r="F99" s="2"/>
      <c r="G99" s="2"/>
      <c r="H99" s="2"/>
      <c r="I99" s="2"/>
      <c r="J99" s="2"/>
      <c r="K99" s="2"/>
      <c r="L99" s="2"/>
      <c r="M99" s="2"/>
    </row>
    <row r="100" spans="2:13" x14ac:dyDescent="0.25">
      <c r="B100" s="11" t="s">
        <v>81</v>
      </c>
      <c r="C100" s="10">
        <f>C85+C90</f>
        <v>3800.6986301369861</v>
      </c>
      <c r="D100" s="10">
        <f>D85+D90</f>
        <v>3902</v>
      </c>
      <c r="E100" s="10">
        <v>4042</v>
      </c>
      <c r="F100" s="10">
        <f>F85+F90</f>
        <v>3966</v>
      </c>
      <c r="G100" s="10">
        <f>G85+G90</f>
        <v>3780.1053999999999</v>
      </c>
      <c r="H100" s="10">
        <f t="shared" ref="H100:J101" si="59">H90+H85</f>
        <v>3579.5</v>
      </c>
      <c r="I100" s="10">
        <f t="shared" si="59"/>
        <v>3445</v>
      </c>
      <c r="J100" s="10">
        <f t="shared" si="59"/>
        <v>3650.0306748466255</v>
      </c>
      <c r="K100" s="10">
        <f t="shared" ref="K100:L100" si="60">K90+K85</f>
        <v>3650</v>
      </c>
      <c r="L100" s="10">
        <f t="shared" si="60"/>
        <v>3605</v>
      </c>
      <c r="M100" s="10">
        <f t="shared" ref="M100" si="61">M90+M85</f>
        <v>3499</v>
      </c>
    </row>
    <row r="101" spans="2:13" x14ac:dyDescent="0.25">
      <c r="B101" s="11" t="s">
        <v>82</v>
      </c>
      <c r="C101" s="10">
        <f>C86+C91</f>
        <v>3715.5945205479456</v>
      </c>
      <c r="D101" s="10">
        <v>3746</v>
      </c>
      <c r="E101" s="10">
        <v>3850</v>
      </c>
      <c r="F101" s="10">
        <v>3651</v>
      </c>
      <c r="G101" s="10">
        <f>G86+G91</f>
        <v>3351.8821000000003</v>
      </c>
      <c r="H101" s="10">
        <f t="shared" si="59"/>
        <v>3244.8</v>
      </c>
      <c r="I101" s="10">
        <f t="shared" si="59"/>
        <v>2934.2</v>
      </c>
      <c r="J101" s="10">
        <f t="shared" si="59"/>
        <v>3070</v>
      </c>
      <c r="K101" s="10">
        <f t="shared" ref="K101:L101" si="62">K91+K86</f>
        <v>3074</v>
      </c>
      <c r="L101" s="10">
        <f t="shared" si="62"/>
        <v>2989</v>
      </c>
      <c r="M101" s="10">
        <f t="shared" ref="M101" si="63">M91+M86</f>
        <v>3033</v>
      </c>
    </row>
    <row r="102" spans="2:13" x14ac:dyDescent="0.25">
      <c r="B102" s="12" t="s">
        <v>83</v>
      </c>
      <c r="C102" s="8">
        <f t="shared" ref="C102:G102" si="64">C101/C100*100</f>
        <v>97.760829840224048</v>
      </c>
      <c r="D102" s="8">
        <f t="shared" si="64"/>
        <v>96.002050230650951</v>
      </c>
      <c r="E102" s="8">
        <f t="shared" si="64"/>
        <v>95.249876298861949</v>
      </c>
      <c r="F102" s="8">
        <f t="shared" si="64"/>
        <v>92.057488653555225</v>
      </c>
      <c r="G102" s="8">
        <f t="shared" si="64"/>
        <v>88.671657144798147</v>
      </c>
      <c r="H102" s="8">
        <f>H101/H100*100</f>
        <v>90.649532057549948</v>
      </c>
      <c r="I102" s="8">
        <f t="shared" ref="I102:K102" si="65">I101/I100*100</f>
        <v>85.17271407837444</v>
      </c>
      <c r="J102" s="8">
        <f>J101/J100*100</f>
        <v>84.108882184366891</v>
      </c>
      <c r="K102" s="8">
        <f t="shared" si="65"/>
        <v>84.219178082191775</v>
      </c>
      <c r="L102" s="8">
        <f>L101/L100*100</f>
        <v>82.912621359223309</v>
      </c>
      <c r="M102" s="8">
        <f>M101/M100*100</f>
        <v>86.681909116890537</v>
      </c>
    </row>
    <row r="103" spans="2:13" x14ac:dyDescent="0.25">
      <c r="B103" s="6"/>
    </row>
    <row r="104" spans="2:13" x14ac:dyDescent="0.25">
      <c r="B104" s="63" t="s">
        <v>268</v>
      </c>
    </row>
    <row r="105" spans="2:13" x14ac:dyDescent="0.25">
      <c r="B105" s="63" t="s">
        <v>271</v>
      </c>
    </row>
    <row r="106" spans="2:13" x14ac:dyDescent="0.25">
      <c r="B106" s="7"/>
    </row>
    <row r="109" spans="2:13" ht="18.75" x14ac:dyDescent="0.3">
      <c r="B109" s="15" t="s">
        <v>244</v>
      </c>
      <c r="C109" s="16">
        <v>2014</v>
      </c>
      <c r="D109" s="16">
        <v>2015</v>
      </c>
      <c r="E109" s="16">
        <v>2016</v>
      </c>
      <c r="F109" s="16">
        <v>2017</v>
      </c>
      <c r="G109" s="16">
        <v>2018</v>
      </c>
      <c r="H109" s="16">
        <v>2019</v>
      </c>
      <c r="I109" s="16">
        <v>2020</v>
      </c>
      <c r="J109" s="16">
        <v>2021</v>
      </c>
      <c r="K109" s="16">
        <v>2022</v>
      </c>
      <c r="L109" s="16">
        <v>2023</v>
      </c>
      <c r="M109" s="16">
        <v>2024</v>
      </c>
    </row>
    <row r="110" spans="2:13" x14ac:dyDescent="0.25">
      <c r="B110" s="22" t="s">
        <v>62</v>
      </c>
      <c r="C110" s="2"/>
      <c r="D110" s="2"/>
      <c r="E110" s="2"/>
      <c r="F110" s="2"/>
      <c r="G110" s="10"/>
      <c r="H110" s="10"/>
      <c r="I110" s="10"/>
      <c r="J110" s="10"/>
      <c r="K110" s="10"/>
      <c r="L110" s="10"/>
      <c r="M110" s="10"/>
    </row>
    <row r="111" spans="2:13" x14ac:dyDescent="0.25">
      <c r="B111" s="11" t="s">
        <v>81</v>
      </c>
      <c r="C111" s="9">
        <v>875</v>
      </c>
      <c r="D111" s="9">
        <v>800</v>
      </c>
      <c r="E111" s="9">
        <v>791</v>
      </c>
      <c r="F111" s="9">
        <v>796</v>
      </c>
      <c r="G111" s="9">
        <v>804</v>
      </c>
      <c r="H111" s="9">
        <v>873</v>
      </c>
      <c r="I111" s="9">
        <v>974</v>
      </c>
      <c r="J111" s="9">
        <v>1236</v>
      </c>
      <c r="K111" s="9">
        <v>1396</v>
      </c>
      <c r="L111" s="9">
        <v>1393</v>
      </c>
      <c r="M111" s="9">
        <v>1686</v>
      </c>
    </row>
    <row r="112" spans="2:13" x14ac:dyDescent="0.25">
      <c r="B112" s="11" t="s">
        <v>82</v>
      </c>
      <c r="C112" s="10">
        <f>713+28</f>
        <v>741</v>
      </c>
      <c r="D112" s="10">
        <v>660</v>
      </c>
      <c r="E112" s="10">
        <v>678</v>
      </c>
      <c r="F112" s="20">
        <v>672</v>
      </c>
      <c r="G112" s="10">
        <v>726</v>
      </c>
      <c r="H112" s="10">
        <v>821</v>
      </c>
      <c r="I112" s="10">
        <v>878</v>
      </c>
      <c r="J112" s="10">
        <v>1112</v>
      </c>
      <c r="K112" s="10">
        <v>1274</v>
      </c>
      <c r="L112" s="10">
        <v>1349</v>
      </c>
      <c r="M112" s="10">
        <v>1593</v>
      </c>
    </row>
    <row r="113" spans="2:13" x14ac:dyDescent="0.25">
      <c r="B113" s="12" t="s">
        <v>83</v>
      </c>
      <c r="C113" s="8">
        <f t="shared" ref="C113:H113" si="66">C112/C111*100</f>
        <v>84.685714285714283</v>
      </c>
      <c r="D113" s="8">
        <f t="shared" si="66"/>
        <v>82.5</v>
      </c>
      <c r="E113" s="8">
        <f t="shared" si="66"/>
        <v>85.714285714285708</v>
      </c>
      <c r="F113" s="8">
        <f t="shared" si="66"/>
        <v>84.422110552763812</v>
      </c>
      <c r="G113" s="8">
        <f t="shared" si="66"/>
        <v>90.298507462686572</v>
      </c>
      <c r="H113" s="8">
        <f t="shared" si="66"/>
        <v>94.043528064146614</v>
      </c>
      <c r="I113" s="8">
        <f t="shared" ref="I113:J113" si="67">I112/I111*100</f>
        <v>90.143737166324428</v>
      </c>
      <c r="J113" s="8">
        <f t="shared" si="67"/>
        <v>89.967637540453069</v>
      </c>
      <c r="K113" s="8">
        <f t="shared" ref="K113:L113" si="68">K112/K111*100</f>
        <v>91.260744985673341</v>
      </c>
      <c r="L113" s="8">
        <f t="shared" si="68"/>
        <v>96.841349605168702</v>
      </c>
      <c r="M113" s="8">
        <f t="shared" ref="M113" si="69">M112/M111*100</f>
        <v>94.483985765124558</v>
      </c>
    </row>
    <row r="114" spans="2:13" x14ac:dyDescent="0.25">
      <c r="B114" s="2"/>
      <c r="C114" s="2"/>
      <c r="D114" s="2"/>
      <c r="E114" s="2"/>
      <c r="F114" s="2"/>
      <c r="G114" s="2"/>
      <c r="H114" s="2"/>
      <c r="I114" s="2"/>
      <c r="J114" s="2"/>
      <c r="K114" s="2"/>
      <c r="L114" s="2"/>
      <c r="M114" s="2"/>
    </row>
    <row r="115" spans="2:13" x14ac:dyDescent="0.25">
      <c r="B115" s="22" t="s">
        <v>78</v>
      </c>
      <c r="C115" s="2"/>
      <c r="D115" s="2"/>
      <c r="E115" s="2"/>
      <c r="F115" s="2"/>
      <c r="G115" s="2"/>
      <c r="H115" s="2"/>
      <c r="I115" s="2"/>
      <c r="J115" s="2"/>
      <c r="K115" s="2"/>
      <c r="L115" s="2"/>
      <c r="M115" s="2"/>
    </row>
    <row r="116" spans="2:13" x14ac:dyDescent="0.25">
      <c r="B116" s="11" t="s">
        <v>81</v>
      </c>
      <c r="C116" s="9">
        <f>4533-875</f>
        <v>3658</v>
      </c>
      <c r="D116" s="9">
        <v>3554</v>
      </c>
      <c r="E116" s="9">
        <v>3462</v>
      </c>
      <c r="F116" s="9">
        <f>1338+2112</f>
        <v>3450</v>
      </c>
      <c r="G116" s="9">
        <v>3451</v>
      </c>
      <c r="H116" s="9">
        <v>3623</v>
      </c>
      <c r="I116" s="9">
        <v>3784</v>
      </c>
      <c r="J116" s="9">
        <v>3877</v>
      </c>
      <c r="K116" s="9">
        <v>3946</v>
      </c>
      <c r="L116" s="9">
        <v>4390</v>
      </c>
      <c r="M116" s="9">
        <v>5034</v>
      </c>
    </row>
    <row r="117" spans="2:13" x14ac:dyDescent="0.25">
      <c r="B117" s="11" t="s">
        <v>82</v>
      </c>
      <c r="C117" s="9">
        <f>3874-741</f>
        <v>3133</v>
      </c>
      <c r="D117" s="9">
        <v>3141</v>
      </c>
      <c r="E117" s="9">
        <v>3088</v>
      </c>
      <c r="F117" s="72">
        <f>1158+1914</f>
        <v>3072</v>
      </c>
      <c r="G117" s="9">
        <v>3194</v>
      </c>
      <c r="H117" s="9">
        <v>3442</v>
      </c>
      <c r="I117" s="9">
        <v>3635</v>
      </c>
      <c r="J117" s="9">
        <v>3705</v>
      </c>
      <c r="K117" s="9">
        <v>3844</v>
      </c>
      <c r="L117" s="9">
        <v>4292</v>
      </c>
      <c r="M117" s="9">
        <v>4977</v>
      </c>
    </row>
    <row r="118" spans="2:13" x14ac:dyDescent="0.25">
      <c r="B118" s="12" t="s">
        <v>83</v>
      </c>
      <c r="C118" s="8">
        <f t="shared" ref="C118:E118" si="70">C117/C116*100</f>
        <v>85.647895024603599</v>
      </c>
      <c r="D118" s="8">
        <f t="shared" si="70"/>
        <v>88.379290939786159</v>
      </c>
      <c r="E118" s="8">
        <f t="shared" si="70"/>
        <v>89.196995956094739</v>
      </c>
      <c r="F118" s="8">
        <f t="shared" ref="F118:K118" si="71">F117/F116*100</f>
        <v>89.043478260869563</v>
      </c>
      <c r="G118" s="8">
        <f t="shared" si="71"/>
        <v>92.552883222254422</v>
      </c>
      <c r="H118" s="8">
        <f t="shared" si="71"/>
        <v>95.004140215291201</v>
      </c>
      <c r="I118" s="8">
        <f t="shared" si="71"/>
        <v>96.062367864693442</v>
      </c>
      <c r="J118" s="8">
        <f t="shared" si="71"/>
        <v>95.563580087696678</v>
      </c>
      <c r="K118" s="8">
        <f t="shared" si="71"/>
        <v>97.415103902686269</v>
      </c>
      <c r="L118" s="8">
        <f t="shared" ref="L118:M118" si="72">L117/L116*100</f>
        <v>97.767653758542139</v>
      </c>
      <c r="M118" s="8">
        <f t="shared" si="72"/>
        <v>98.867699642431461</v>
      </c>
    </row>
    <row r="119" spans="2:13" x14ac:dyDescent="0.25">
      <c r="B119" s="2"/>
      <c r="C119" s="10"/>
      <c r="D119" s="10"/>
      <c r="E119" s="10"/>
      <c r="F119" s="10"/>
      <c r="G119" s="10"/>
      <c r="H119" s="10"/>
      <c r="I119" s="10"/>
      <c r="J119" s="10"/>
      <c r="K119" s="10"/>
      <c r="L119" s="10"/>
      <c r="M119" s="10"/>
    </row>
    <row r="120" spans="2:13" x14ac:dyDescent="0.25">
      <c r="B120" s="22" t="s">
        <v>79</v>
      </c>
      <c r="C120" s="10"/>
      <c r="D120" s="10"/>
      <c r="E120" s="10"/>
      <c r="F120" s="10"/>
      <c r="G120" s="10"/>
      <c r="H120" s="10"/>
      <c r="I120" s="10"/>
      <c r="J120" s="10"/>
      <c r="K120" s="10"/>
      <c r="L120" s="10"/>
      <c r="M120" s="10"/>
    </row>
    <row r="121" spans="2:13" x14ac:dyDescent="0.25">
      <c r="B121" s="11" t="s">
        <v>81</v>
      </c>
      <c r="C121" s="9">
        <v>1913</v>
      </c>
      <c r="D121" s="9">
        <v>2038</v>
      </c>
      <c r="E121" s="9">
        <v>1941</v>
      </c>
      <c r="F121" s="9">
        <v>1957</v>
      </c>
      <c r="G121" s="9">
        <v>2137.62</v>
      </c>
      <c r="H121" s="9">
        <v>2160</v>
      </c>
      <c r="I121" s="9">
        <v>2200</v>
      </c>
      <c r="J121" s="9">
        <v>2482</v>
      </c>
      <c r="K121" s="9">
        <v>2622</v>
      </c>
      <c r="L121" s="9">
        <v>2876</v>
      </c>
      <c r="M121" s="9">
        <v>3335</v>
      </c>
    </row>
    <row r="122" spans="2:13" x14ac:dyDescent="0.25">
      <c r="B122" s="11" t="s">
        <v>82</v>
      </c>
      <c r="C122" s="9">
        <v>1608</v>
      </c>
      <c r="D122" s="9">
        <v>1604</v>
      </c>
      <c r="E122" s="9">
        <v>1644</v>
      </c>
      <c r="F122" s="72">
        <v>1711.14</v>
      </c>
      <c r="G122" s="9">
        <v>1929.23</v>
      </c>
      <c r="H122" s="9">
        <v>2001</v>
      </c>
      <c r="I122" s="9">
        <v>2188</v>
      </c>
      <c r="J122" s="9">
        <v>2323</v>
      </c>
      <c r="K122" s="9">
        <v>2527</v>
      </c>
      <c r="L122" s="9">
        <v>2852</v>
      </c>
      <c r="M122" s="9">
        <v>3236</v>
      </c>
    </row>
    <row r="123" spans="2:13" x14ac:dyDescent="0.25">
      <c r="B123" s="12" t="s">
        <v>83</v>
      </c>
      <c r="C123" s="8">
        <f t="shared" ref="C123:G123" si="73">C122/C121*100</f>
        <v>84.056455828541559</v>
      </c>
      <c r="D123" s="8">
        <f t="shared" si="73"/>
        <v>78.704612365063781</v>
      </c>
      <c r="E123" s="8">
        <f t="shared" si="73"/>
        <v>84.69860896445131</v>
      </c>
      <c r="F123" s="8">
        <f t="shared" si="73"/>
        <v>87.4368932038835</v>
      </c>
      <c r="G123" s="8">
        <f t="shared" si="73"/>
        <v>90.251307528934049</v>
      </c>
      <c r="H123" s="8">
        <f t="shared" ref="H123:I123" si="74">H122/H121*100</f>
        <v>92.638888888888886</v>
      </c>
      <c r="I123" s="8">
        <f t="shared" si="74"/>
        <v>99.454545454545453</v>
      </c>
      <c r="J123" s="8">
        <f t="shared" ref="J123:K123" si="75">J122/J121*100</f>
        <v>93.593875906526989</v>
      </c>
      <c r="K123" s="8">
        <f t="shared" si="75"/>
        <v>96.376811594202891</v>
      </c>
      <c r="L123" s="8">
        <f t="shared" ref="L123:M123" si="76">L122/L121*100</f>
        <v>99.165507649513216</v>
      </c>
      <c r="M123" s="8">
        <f t="shared" si="76"/>
        <v>97.031484257871057</v>
      </c>
    </row>
    <row r="124" spans="2:13" x14ac:dyDescent="0.25">
      <c r="B124" s="2"/>
      <c r="C124" s="2"/>
      <c r="D124" s="2"/>
      <c r="E124" s="2"/>
      <c r="F124" s="2"/>
      <c r="G124" s="2"/>
      <c r="H124" s="2"/>
      <c r="I124" s="2"/>
      <c r="J124" s="2"/>
      <c r="K124" s="2"/>
      <c r="L124" s="2"/>
      <c r="M124" s="2"/>
    </row>
    <row r="125" spans="2:13" x14ac:dyDescent="0.25">
      <c r="B125" s="22" t="s">
        <v>80</v>
      </c>
      <c r="C125" s="2"/>
      <c r="D125" s="2"/>
      <c r="E125" s="2"/>
      <c r="F125" s="2"/>
      <c r="G125" s="2"/>
      <c r="H125" s="2"/>
      <c r="I125" s="2"/>
      <c r="J125" s="2"/>
      <c r="K125" s="2"/>
      <c r="L125" s="2"/>
      <c r="M125" s="2"/>
    </row>
    <row r="126" spans="2:13" x14ac:dyDescent="0.25">
      <c r="B126" s="11" t="s">
        <v>81</v>
      </c>
      <c r="C126" s="10">
        <f t="shared" ref="C126:E127" si="77">+C111+C116+C121</f>
        <v>6446</v>
      </c>
      <c r="D126" s="10">
        <f t="shared" si="77"/>
        <v>6392</v>
      </c>
      <c r="E126" s="10">
        <f t="shared" si="77"/>
        <v>6194</v>
      </c>
      <c r="F126" s="10">
        <f t="shared" ref="F126:H127" si="78">+F111+F116+F121</f>
        <v>6203</v>
      </c>
      <c r="G126" s="10">
        <f t="shared" si="78"/>
        <v>6392.62</v>
      </c>
      <c r="H126" s="10">
        <f t="shared" si="78"/>
        <v>6656</v>
      </c>
      <c r="I126" s="10">
        <f t="shared" ref="I126:K126" si="79">+I111+I116+I121</f>
        <v>6958</v>
      </c>
      <c r="J126" s="10">
        <f>+J111+J116+J121</f>
        <v>7595</v>
      </c>
      <c r="K126" s="10">
        <f t="shared" si="79"/>
        <v>7964</v>
      </c>
      <c r="L126" s="10">
        <f>+L111+L116+L121</f>
        <v>8659</v>
      </c>
      <c r="M126" s="10">
        <f>+M111+M116+M121</f>
        <v>10055</v>
      </c>
    </row>
    <row r="127" spans="2:13" x14ac:dyDescent="0.25">
      <c r="B127" s="11" t="s">
        <v>82</v>
      </c>
      <c r="C127" s="10">
        <f t="shared" si="77"/>
        <v>5482</v>
      </c>
      <c r="D127" s="10">
        <f t="shared" si="77"/>
        <v>5405</v>
      </c>
      <c r="E127" s="10">
        <f t="shared" si="77"/>
        <v>5410</v>
      </c>
      <c r="F127" s="20">
        <f t="shared" si="78"/>
        <v>5455.14</v>
      </c>
      <c r="G127" s="10">
        <f t="shared" si="78"/>
        <v>5849.23</v>
      </c>
      <c r="H127" s="10">
        <f t="shared" si="78"/>
        <v>6264</v>
      </c>
      <c r="I127" s="10">
        <f t="shared" ref="I127:K127" si="80">+I112+I117+I122</f>
        <v>6701</v>
      </c>
      <c r="J127" s="10">
        <f>+J112+J117+J122</f>
        <v>7140</v>
      </c>
      <c r="K127" s="10">
        <f t="shared" si="80"/>
        <v>7645</v>
      </c>
      <c r="L127" s="10">
        <f>+L112+L117+L122</f>
        <v>8493</v>
      </c>
      <c r="M127" s="10">
        <f>+M112+M117+M122</f>
        <v>9806</v>
      </c>
    </row>
    <row r="128" spans="2:13" x14ac:dyDescent="0.25">
      <c r="B128" s="12" t="s">
        <v>83</v>
      </c>
      <c r="C128" s="8">
        <f t="shared" ref="C128:G128" si="81">C127/C126*100</f>
        <v>85.044989140552289</v>
      </c>
      <c r="D128" s="8">
        <f t="shared" si="81"/>
        <v>84.558823529411768</v>
      </c>
      <c r="E128" s="8">
        <f t="shared" si="81"/>
        <v>87.342589602841457</v>
      </c>
      <c r="F128" s="8">
        <f t="shared" si="81"/>
        <v>87.943575689182666</v>
      </c>
      <c r="G128" s="8">
        <f t="shared" si="81"/>
        <v>91.499729375436047</v>
      </c>
      <c r="H128" s="8">
        <f>H127/H126*100</f>
        <v>94.110576923076934</v>
      </c>
      <c r="I128" s="8">
        <f t="shared" ref="I128:K128" si="82">I127/I126*100</f>
        <v>96.306409887898823</v>
      </c>
      <c r="J128" s="8">
        <f>J127/J126*100</f>
        <v>94.009216589861751</v>
      </c>
      <c r="K128" s="8">
        <f t="shared" si="82"/>
        <v>95.994475138121544</v>
      </c>
      <c r="L128" s="8">
        <f>L127/L126*100</f>
        <v>98.082919505716589</v>
      </c>
      <c r="M128" s="8">
        <f>M127/M126*100</f>
        <v>97.523620089507716</v>
      </c>
    </row>
    <row r="129" spans="2:2" x14ac:dyDescent="0.25">
      <c r="B129" s="6"/>
    </row>
    <row r="130" spans="2:2" x14ac:dyDescent="0.25">
      <c r="B130" s="89" t="s">
        <v>370</v>
      </c>
    </row>
    <row r="131" spans="2:2" x14ac:dyDescent="0.25">
      <c r="B131" s="13" t="s">
        <v>312</v>
      </c>
    </row>
    <row r="132" spans="2:2" x14ac:dyDescent="0.25">
      <c r="B132" s="87"/>
    </row>
  </sheetData>
  <pageMargins left="0.7" right="0.7" top="0.75" bottom="0.75" header="0.3" footer="0.3"/>
  <pageSetup paperSize="9" orientation="portrait" r:id="rId1"/>
  <ignoredErrors>
    <ignoredError sqref="C116:C117 F116:F1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04dac96-5860-40a3-8f10-3fb9c1cd8d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24A5C61DD7D2438CCB806F529A4F31" ma:contentTypeVersion="6" ma:contentTypeDescription="Create a new document." ma:contentTypeScope="" ma:versionID="ac3a25355b9e6afcbbd4585e8e6094f6">
  <xsd:schema xmlns:xsd="http://www.w3.org/2001/XMLSchema" xmlns:xs="http://www.w3.org/2001/XMLSchema" xmlns:p="http://schemas.microsoft.com/office/2006/metadata/properties" xmlns:ns3="c04dac96-5860-40a3-8f10-3fb9c1cd8dfc" targetNamespace="http://schemas.microsoft.com/office/2006/metadata/properties" ma:root="true" ma:fieldsID="484167693f85d10c97b42f56744fb7e0" ns3:_="">
    <xsd:import namespace="c04dac96-5860-40a3-8f10-3fb9c1cd8df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dac96-5860-40a3-8f10-3fb9c1cd8df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621E3E-8FF0-405F-86E2-FDEAC135BA28}">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4dac96-5860-40a3-8f10-3fb9c1cd8dfc"/>
    <ds:schemaRef ds:uri="http://purl.org/dc/dcmitype/"/>
  </ds:schemaRefs>
</ds:datastoreItem>
</file>

<file path=customXml/itemProps2.xml><?xml version="1.0" encoding="utf-8"?>
<ds:datastoreItem xmlns:ds="http://schemas.openxmlformats.org/officeDocument/2006/customXml" ds:itemID="{A2238176-07D8-4CF6-BE08-EFFCE1388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dac96-5860-40a3-8f10-3fb9c1cd8d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7A0B43-7142-4428-8BBE-BC3C5E5A4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Innehåll</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Definitioner</vt:lpstr>
      <vt:lpstr>Folkmängd</vt:lpstr>
      <vt:lpstr>Definitioner!_Toc502915981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Gabrielsson Marie - HK</dc:creator>
  <cp:keywords/>
  <dc:description/>
  <cp:lastModifiedBy>Hafdís Guðmundsdóttir</cp:lastModifiedBy>
  <cp:lastPrinted>2024-05-23T12:01:12Z</cp:lastPrinted>
  <dcterms:created xsi:type="dcterms:W3CDTF">2019-05-20T11:09:51Z</dcterms:created>
  <dcterms:modified xsi:type="dcterms:W3CDTF">2026-01-12T13:07:02Z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0x0101001724A5C61DD7D2438CCB806F529A4F31</vt:lpwstr>
  </property>
</Properties>
</file>